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N:\Projekte\Arge-Stickstoff\Produkte_2024\2024-03_Umweltdaten_Stickstoff\"/>
    </mc:Choice>
  </mc:AlternateContent>
  <bookViews>
    <workbookView xWindow="0" yWindow="0" windowWidth="22935" windowHeight="15270" tabRatio="1000"/>
  </bookViews>
  <sheets>
    <sheet name="Deckblatt" sheetId="49" r:id="rId1"/>
    <sheet name="Erläuterung" sheetId="52" r:id="rId2"/>
    <sheet name="LRT_6510" sheetId="33" r:id="rId3"/>
    <sheet name="LRT_6510_barrierefrei" sheetId="54" r:id="rId4"/>
    <sheet name="LRT_to_Copy_ohne-Pferch_Formula" sheetId="20" state="veryHidden" r:id="rId5"/>
    <sheet name="31_CLemp" sheetId="7" state="veryHidden" r:id="rId6"/>
    <sheet name="Uncertainty_txt" sheetId="13" state="veryHidden" r:id="rId7"/>
  </sheets>
  <definedNames>
    <definedName name="Print_Area" localSheetId="2">LRT_6510!$B$2:$M$55</definedName>
    <definedName name="Print_Area" localSheetId="3">LRT_6510_barrierefrei!$B$2:$M$55</definedName>
    <definedName name="Print_Area2" localSheetId="2">LRT_6510!$A$1:$M$55</definedName>
    <definedName name="Print_Area2" localSheetId="3">LRT_6510_barrierefrei!$A$1:$M$55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54" l="1"/>
  <c r="L46" i="54" s="1"/>
  <c r="I43" i="54"/>
  <c r="I46" i="54" s="1"/>
  <c r="F43" i="54"/>
  <c r="F46" i="54" s="1"/>
  <c r="L35" i="54"/>
  <c r="I35" i="54"/>
  <c r="F35" i="54"/>
  <c r="L16" i="54"/>
  <c r="L19" i="54" s="1"/>
  <c r="I16" i="54"/>
  <c r="I17" i="54" s="1"/>
  <c r="F16" i="54"/>
  <c r="F19" i="54" s="1"/>
  <c r="L14" i="54"/>
  <c r="I14" i="54"/>
  <c r="F14" i="54"/>
  <c r="M7" i="54"/>
  <c r="M9" i="54" s="1"/>
  <c r="L7" i="54"/>
  <c r="L9" i="54" s="1"/>
  <c r="K7" i="54"/>
  <c r="K9" i="54" s="1"/>
  <c r="J7" i="54"/>
  <c r="J9" i="54" s="1"/>
  <c r="I7" i="54"/>
  <c r="I9" i="54" s="1"/>
  <c r="H7" i="54"/>
  <c r="H9" i="54" s="1"/>
  <c r="G7" i="54"/>
  <c r="G9" i="54" s="1"/>
  <c r="F7" i="54"/>
  <c r="F9" i="54" s="1"/>
  <c r="E7" i="54"/>
  <c r="E9" i="54" s="1"/>
  <c r="L17" i="54" l="1"/>
  <c r="I19" i="54"/>
  <c r="I39" i="54"/>
  <c r="I49" i="54" s="1"/>
  <c r="H39" i="54"/>
  <c r="H48" i="54" s="1"/>
  <c r="G39" i="54"/>
  <c r="G50" i="54" s="1"/>
  <c r="F21" i="54"/>
  <c r="F23" i="54" s="1"/>
  <c r="F37" i="54" s="1"/>
  <c r="E39" i="54"/>
  <c r="E50" i="54" s="1"/>
  <c r="F39" i="54"/>
  <c r="F50" i="54" s="1"/>
  <c r="I21" i="54"/>
  <c r="I31" i="54" s="1"/>
  <c r="K49" i="54"/>
  <c r="L21" i="54"/>
  <c r="F17" i="54"/>
  <c r="J39" i="54"/>
  <c r="J49" i="54" s="1"/>
  <c r="K39" i="54"/>
  <c r="K48" i="54" s="1"/>
  <c r="L39" i="54"/>
  <c r="L48" i="54" s="1"/>
  <c r="M39" i="54"/>
  <c r="M50" i="54" s="1"/>
  <c r="M7" i="33"/>
  <c r="M9" i="33" s="1"/>
  <c r="L7" i="33"/>
  <c r="L9" i="33" s="1"/>
  <c r="K7" i="33"/>
  <c r="K9" i="33" s="1"/>
  <c r="J7" i="33"/>
  <c r="J9" i="33" s="1"/>
  <c r="I7" i="33"/>
  <c r="I9" i="33" s="1"/>
  <c r="H7" i="33"/>
  <c r="H9" i="33" s="1"/>
  <c r="G7" i="33"/>
  <c r="G9" i="33" s="1"/>
  <c r="F7" i="33"/>
  <c r="F9" i="33" s="1"/>
  <c r="E7" i="33"/>
  <c r="E9" i="33" s="1"/>
  <c r="G48" i="54" l="1"/>
  <c r="F48" i="54"/>
  <c r="J48" i="54"/>
  <c r="K50" i="54"/>
  <c r="L49" i="54"/>
  <c r="M49" i="54"/>
  <c r="H50" i="54"/>
  <c r="F49" i="54"/>
  <c r="F31" i="54"/>
  <c r="E51" i="54" s="1"/>
  <c r="G51" i="54"/>
  <c r="J51" i="54"/>
  <c r="H51" i="54"/>
  <c r="M48" i="54"/>
  <c r="L50" i="54"/>
  <c r="I48" i="54"/>
  <c r="E49" i="54"/>
  <c r="E48" i="54"/>
  <c r="J50" i="54"/>
  <c r="I50" i="54"/>
  <c r="L23" i="54"/>
  <c r="L37" i="54" s="1"/>
  <c r="L31" i="54"/>
  <c r="K51" i="54" s="1"/>
  <c r="G49" i="54"/>
  <c r="M51" i="54"/>
  <c r="F51" i="54"/>
  <c r="H49" i="54"/>
  <c r="L51" i="54"/>
  <c r="F24" i="54"/>
  <c r="I23" i="54"/>
  <c r="I37" i="54" s="1"/>
  <c r="F32" i="54"/>
  <c r="I51" i="54"/>
  <c r="K43" i="33"/>
  <c r="H43" i="33"/>
  <c r="E43" i="33"/>
  <c r="K35" i="33"/>
  <c r="H35" i="33"/>
  <c r="E35" i="33"/>
  <c r="K16" i="33"/>
  <c r="K17" i="33" s="1"/>
  <c r="H16" i="33"/>
  <c r="H17" i="33" s="1"/>
  <c r="E16" i="33"/>
  <c r="E17" i="33" s="1"/>
  <c r="K14" i="33"/>
  <c r="H14" i="33"/>
  <c r="E14" i="33"/>
  <c r="F33" i="54" l="1"/>
  <c r="L32" i="54"/>
  <c r="F52" i="54"/>
  <c r="G52" i="54"/>
  <c r="F29" i="54"/>
  <c r="E52" i="54"/>
  <c r="I24" i="54"/>
  <c r="I32" i="54"/>
  <c r="I33" i="54" s="1"/>
  <c r="L24" i="54"/>
  <c r="L33" i="54"/>
  <c r="E46" i="33"/>
  <c r="H46" i="33"/>
  <c r="I39" i="33"/>
  <c r="I50" i="33" s="1"/>
  <c r="K46" i="33"/>
  <c r="K19" i="33"/>
  <c r="K21" i="33" s="1"/>
  <c r="H19" i="33"/>
  <c r="E19" i="33"/>
  <c r="K39" i="33"/>
  <c r="K48" i="33" s="1"/>
  <c r="L39" i="33"/>
  <c r="L49" i="33" s="1"/>
  <c r="J39" i="33"/>
  <c r="E39" i="33"/>
  <c r="E50" i="33" s="1"/>
  <c r="M39" i="33"/>
  <c r="M48" i="33" s="1"/>
  <c r="G39" i="33"/>
  <c r="G49" i="33" s="1"/>
  <c r="H39" i="33"/>
  <c r="H48" i="33" s="1"/>
  <c r="F39" i="33"/>
  <c r="F50" i="33" s="1"/>
  <c r="L52" i="54" l="1"/>
  <c r="K52" i="54"/>
  <c r="M52" i="54"/>
  <c r="L29" i="54"/>
  <c r="H52" i="54"/>
  <c r="J52" i="54"/>
  <c r="I52" i="54"/>
  <c r="I29" i="54"/>
  <c r="F53" i="54"/>
  <c r="G53" i="54"/>
  <c r="E53" i="54"/>
  <c r="H21" i="33"/>
  <c r="H31" i="33" s="1"/>
  <c r="I51" i="33" s="1"/>
  <c r="I48" i="33"/>
  <c r="E48" i="33"/>
  <c r="G48" i="33"/>
  <c r="L48" i="33"/>
  <c r="F48" i="33"/>
  <c r="J48" i="33"/>
  <c r="I49" i="33"/>
  <c r="H50" i="33"/>
  <c r="E21" i="33"/>
  <c r="K31" i="33"/>
  <c r="K51" i="33" s="1"/>
  <c r="K23" i="33"/>
  <c r="K37" i="33" s="1"/>
  <c r="F49" i="33"/>
  <c r="L50" i="33"/>
  <c r="M49" i="33"/>
  <c r="E49" i="33"/>
  <c r="J50" i="33"/>
  <c r="K50" i="33"/>
  <c r="K49" i="33"/>
  <c r="J49" i="33"/>
  <c r="H49" i="33"/>
  <c r="M50" i="33"/>
  <c r="G50" i="33"/>
  <c r="I53" i="54" l="1"/>
  <c r="H53" i="54"/>
  <c r="J53" i="54"/>
  <c r="K53" i="54"/>
  <c r="L53" i="54"/>
  <c r="M53" i="54"/>
  <c r="H23" i="33"/>
  <c r="H37" i="33" s="1"/>
  <c r="K32" i="33"/>
  <c r="K33" i="33" s="1"/>
  <c r="H51" i="33"/>
  <c r="J51" i="33"/>
  <c r="E23" i="33"/>
  <c r="E37" i="33" s="1"/>
  <c r="L51" i="33"/>
  <c r="M51" i="33"/>
  <c r="K24" i="33"/>
  <c r="K29" i="33" s="1"/>
  <c r="E31" i="33"/>
  <c r="G51" i="33" s="1"/>
  <c r="H24" i="33" l="1"/>
  <c r="H32" i="33"/>
  <c r="H33" i="33" s="1"/>
  <c r="E32" i="33"/>
  <c r="E33" i="33" s="1"/>
  <c r="L53" i="33"/>
  <c r="E51" i="33"/>
  <c r="M52" i="33"/>
  <c r="K52" i="33"/>
  <c r="L52" i="33"/>
  <c r="F51" i="33"/>
  <c r="H29" i="33"/>
  <c r="I52" i="33"/>
  <c r="H52" i="33"/>
  <c r="J52" i="33"/>
  <c r="E24" i="33"/>
  <c r="M53" i="33"/>
  <c r="K53" i="33"/>
  <c r="E52" i="33" l="1"/>
  <c r="G52" i="33"/>
  <c r="F52" i="33"/>
  <c r="E29" i="33"/>
  <c r="J53" i="33"/>
  <c r="H53" i="33"/>
  <c r="I53" i="33"/>
  <c r="G53" i="33" l="1"/>
  <c r="E53" i="33"/>
  <c r="F53" i="33"/>
  <c r="M30" i="20" l="1"/>
  <c r="M33" i="20" s="1"/>
  <c r="L30" i="20"/>
  <c r="L33" i="20" s="1"/>
  <c r="K30" i="20"/>
  <c r="K33" i="20" s="1"/>
  <c r="J30" i="20"/>
  <c r="J33" i="20" s="1"/>
  <c r="I30" i="20"/>
  <c r="I33" i="20" s="1"/>
  <c r="H30" i="20"/>
  <c r="H33" i="20" s="1"/>
  <c r="G30" i="20"/>
  <c r="G33" i="20" s="1"/>
  <c r="F30" i="20"/>
  <c r="F33" i="20" s="1"/>
  <c r="E30" i="20"/>
  <c r="E33" i="20" s="1"/>
  <c r="M17" i="20"/>
  <c r="L17" i="20"/>
  <c r="K17" i="20"/>
  <c r="J17" i="20"/>
  <c r="I17" i="20"/>
  <c r="H17" i="20"/>
  <c r="G17" i="20"/>
  <c r="F17" i="20"/>
  <c r="E17" i="20"/>
  <c r="M12" i="20"/>
  <c r="L12" i="20"/>
  <c r="K12" i="20"/>
  <c r="J12" i="20"/>
  <c r="I12" i="20"/>
  <c r="H12" i="20"/>
  <c r="G12" i="20"/>
  <c r="G27" i="20" s="1"/>
  <c r="F12" i="20"/>
  <c r="E12" i="20"/>
  <c r="R7" i="20"/>
  <c r="L19" i="20" s="1"/>
  <c r="Q7" i="20"/>
  <c r="J25" i="20" s="1"/>
  <c r="P7" i="20"/>
  <c r="F25" i="20" s="1"/>
  <c r="D6" i="20" a="1"/>
  <c r="D6" i="20" l="1"/>
  <c r="G5" i="20" s="1"/>
  <c r="G38" i="20"/>
  <c r="J18" i="20"/>
  <c r="J24" i="20" s="1"/>
  <c r="J19" i="20"/>
  <c r="E19" i="20"/>
  <c r="G25" i="20"/>
  <c r="J27" i="20"/>
  <c r="F18" i="20"/>
  <c r="F24" i="20" s="1"/>
  <c r="F19" i="20"/>
  <c r="H25" i="20"/>
  <c r="K27" i="20"/>
  <c r="K38" i="20" s="1"/>
  <c r="G36" i="20"/>
  <c r="G18" i="20"/>
  <c r="G24" i="20" s="1"/>
  <c r="I19" i="20"/>
  <c r="F27" i="20"/>
  <c r="K25" i="20"/>
  <c r="K18" i="20"/>
  <c r="K24" i="20" s="1"/>
  <c r="L25" i="20"/>
  <c r="M19" i="20"/>
  <c r="G39" i="20"/>
  <c r="G40" i="20"/>
  <c r="H18" i="20"/>
  <c r="H24" i="20" s="1"/>
  <c r="L18" i="20"/>
  <c r="L24" i="20" s="1"/>
  <c r="G19" i="20"/>
  <c r="K19" i="20"/>
  <c r="E25" i="20"/>
  <c r="I25" i="20"/>
  <c r="M25" i="20"/>
  <c r="H27" i="20"/>
  <c r="H36" i="20" s="1"/>
  <c r="L27" i="20"/>
  <c r="L40" i="20" s="1"/>
  <c r="E18" i="20"/>
  <c r="I18" i="20"/>
  <c r="M18" i="20"/>
  <c r="H19" i="20"/>
  <c r="E27" i="20"/>
  <c r="E36" i="20" s="1"/>
  <c r="I27" i="20"/>
  <c r="I36" i="20" s="1"/>
  <c r="M27" i="20"/>
  <c r="M40" i="20" s="1"/>
  <c r="K39" i="20" l="1"/>
  <c r="E5" i="20"/>
  <c r="E6" i="20"/>
  <c r="J3" i="20"/>
  <c r="K5" i="20" s="1"/>
  <c r="H3" i="20"/>
  <c r="F4" i="20"/>
  <c r="H4" i="20"/>
  <c r="F3" i="20"/>
  <c r="G34" i="20"/>
  <c r="G37" i="20"/>
  <c r="J34" i="20"/>
  <c r="H38" i="20"/>
  <c r="J40" i="20"/>
  <c r="J38" i="20"/>
  <c r="E38" i="20"/>
  <c r="J39" i="20"/>
  <c r="M38" i="20"/>
  <c r="F40" i="20"/>
  <c r="F38" i="20"/>
  <c r="I38" i="20"/>
  <c r="L38" i="20"/>
  <c r="J36" i="20"/>
  <c r="E39" i="20"/>
  <c r="L39" i="20"/>
  <c r="K40" i="20"/>
  <c r="K37" i="20"/>
  <c r="F34" i="20"/>
  <c r="I40" i="20"/>
  <c r="F36" i="20"/>
  <c r="H40" i="20"/>
  <c r="L34" i="20"/>
  <c r="K34" i="20"/>
  <c r="F37" i="20"/>
  <c r="I39" i="20"/>
  <c r="H34" i="20"/>
  <c r="L36" i="20"/>
  <c r="F39" i="20"/>
  <c r="K36" i="20"/>
  <c r="J37" i="20"/>
  <c r="I24" i="20"/>
  <c r="I34" i="20" s="1"/>
  <c r="I37" i="20"/>
  <c r="M36" i="20"/>
  <c r="H39" i="20"/>
  <c r="E40" i="20"/>
  <c r="E24" i="20"/>
  <c r="E34" i="20" s="1"/>
  <c r="E37" i="20"/>
  <c r="L37" i="20"/>
  <c r="M37" i="20"/>
  <c r="M24" i="20"/>
  <c r="M34" i="20" s="1"/>
  <c r="M39" i="20"/>
  <c r="H37" i="20"/>
  <c r="C67" i="7" l="1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T1" i="7" a="1"/>
  <c r="T1" i="7" l="1"/>
</calcChain>
</file>

<file path=xl/comments1.xml><?xml version="1.0" encoding="utf-8"?>
<comments xmlns="http://schemas.openxmlformats.org/spreadsheetml/2006/main">
  <authors>
    <author>Dieter Horlacher</author>
  </authors>
  <commentList>
    <comment ref="H22" authorId="0" shapeId="0">
      <text>
        <r>
          <rPr>
            <sz val="11"/>
            <color indexed="81"/>
            <rFont val="Segoe UI"/>
            <family val="2"/>
          </rPr>
          <t xml:space="preserve">dh:
Kalk-Magerrasen (orchideenreiche Bestände)
geändert in
</t>
        </r>
        <r>
          <rPr>
            <b/>
            <sz val="11"/>
            <color indexed="81"/>
            <rFont val="Segoe UI"/>
            <family val="2"/>
          </rPr>
          <t>Kalk-Magerrasen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<sst xmlns="http://schemas.openxmlformats.org/spreadsheetml/2006/main" count="935" uniqueCount="485">
  <si>
    <t>-</t>
  </si>
  <si>
    <t>Reliabilty</t>
  </si>
  <si>
    <t>Gemeldete LRT-Fläche innerhalb FFH-Gebieten in</t>
  </si>
  <si>
    <t>DE:</t>
  </si>
  <si>
    <t>BW:</t>
  </si>
  <si>
    <t>(in ha)</t>
  </si>
  <si>
    <t>Trophiestufe</t>
  </si>
  <si>
    <t>®</t>
  </si>
  <si>
    <t>Variable</t>
  </si>
  <si>
    <t>Einheit</t>
  </si>
  <si>
    <r>
      <t>Min</t>
    </r>
    <r>
      <rPr>
        <b/>
        <vertAlign val="superscript"/>
        <sz val="12"/>
        <color theme="1"/>
        <rFont val="Calibri"/>
        <family val="2"/>
        <scheme val="minor"/>
      </rPr>
      <t>1)</t>
    </r>
  </si>
  <si>
    <t>Median</t>
  </si>
  <si>
    <r>
      <t>Max</t>
    </r>
    <r>
      <rPr>
        <b/>
        <vertAlign val="superscript"/>
        <sz val="12"/>
        <color theme="1"/>
        <rFont val="Calibri"/>
        <family val="2"/>
        <scheme val="minor"/>
      </rPr>
      <t>1)</t>
    </r>
  </si>
  <si>
    <t>Min</t>
  </si>
  <si>
    <t>Max</t>
  </si>
  <si>
    <r>
      <t>N</t>
    </r>
    <r>
      <rPr>
        <i/>
        <vertAlign val="subscript"/>
        <sz val="12"/>
        <color theme="1"/>
        <rFont val="Calibri"/>
        <family val="2"/>
        <scheme val="minor"/>
      </rPr>
      <t>crit</t>
    </r>
  </si>
  <si>
    <t>Sickerrate</t>
  </si>
  <si>
    <t>mm/Jahr</t>
  </si>
  <si>
    <r>
      <t>N</t>
    </r>
    <r>
      <rPr>
        <b/>
        <vertAlign val="subscript"/>
        <sz val="12"/>
        <color theme="1"/>
        <rFont val="Calibri"/>
        <family val="2"/>
        <scheme val="minor"/>
      </rPr>
      <t>le</t>
    </r>
    <r>
      <rPr>
        <b/>
        <sz val="12"/>
        <color theme="1"/>
        <rFont val="Calibri"/>
        <family val="2"/>
        <scheme val="minor"/>
      </rPr>
      <t xml:space="preserve"> (N-Auswaschung)</t>
    </r>
  </si>
  <si>
    <t>%</t>
  </si>
  <si>
    <t>g N/kg TM</t>
  </si>
  <si>
    <t>kg TM/ha*Jahr)</t>
  </si>
  <si>
    <t>kg N/(ha*Jahr)</t>
  </si>
  <si>
    <t>% Pferch_Abfuhr des ausgeschiedenen Stickstoffs  (Nexcr)</t>
  </si>
  <si>
    <t>% Nexcreted/Jahr</t>
  </si>
  <si>
    <t>% N-Abfuhr des Aufwuchs durch Mahd</t>
  </si>
  <si>
    <t>%/Jahr</t>
  </si>
  <si>
    <t>% N-Abfuhr des Aufwuchs durch Beweidung</t>
  </si>
  <si>
    <t>% N-Abfuhr des Aufwuchs durch Entbuschung</t>
  </si>
  <si>
    <r>
      <t>N</t>
    </r>
    <r>
      <rPr>
        <b/>
        <vertAlign val="subscript"/>
        <sz val="12"/>
        <color theme="1"/>
        <rFont val="Calibri"/>
        <family val="2"/>
        <scheme val="minor"/>
      </rPr>
      <t>ue,</t>
    </r>
    <r>
      <rPr>
        <b/>
        <sz val="12"/>
        <color theme="1"/>
        <rFont val="Calibri"/>
        <family val="2"/>
        <scheme val="minor"/>
      </rPr>
      <t xml:space="preserve"> idealtypisch</t>
    </r>
  </si>
  <si>
    <r>
      <t>N</t>
    </r>
    <r>
      <rPr>
        <b/>
        <vertAlign val="subscript"/>
        <sz val="14"/>
        <color theme="1"/>
        <rFont val="Calibri"/>
        <family val="2"/>
        <scheme val="minor"/>
      </rPr>
      <t>vol</t>
    </r>
  </si>
  <si>
    <t>kg N/(ha∙Jahr)</t>
  </si>
  <si>
    <r>
      <t>N</t>
    </r>
    <r>
      <rPr>
        <b/>
        <vertAlign val="subscript"/>
        <sz val="14"/>
        <color theme="1"/>
        <rFont val="Calibri"/>
        <family val="2"/>
        <scheme val="minor"/>
      </rPr>
      <t>de</t>
    </r>
  </si>
  <si>
    <t>fde</t>
  </si>
  <si>
    <t>dimensionslos</t>
  </si>
  <si>
    <t>N-Zufuhr</t>
  </si>
  <si>
    <r>
      <t>N</t>
    </r>
    <r>
      <rPr>
        <vertAlign val="subscript"/>
        <sz val="12"/>
        <color theme="1"/>
        <rFont val="Calibri"/>
        <family val="2"/>
        <scheme val="minor"/>
      </rPr>
      <t>sym</t>
    </r>
    <r>
      <rPr>
        <sz val="12"/>
        <color theme="1"/>
        <rFont val="Calibri"/>
        <family val="2"/>
        <scheme val="minor"/>
      </rPr>
      <t xml:space="preserve"> (symbiontische N-Fixierung)</t>
    </r>
  </si>
  <si>
    <r>
      <t xml:space="preserve">       N</t>
    </r>
    <r>
      <rPr>
        <vertAlign val="subscript"/>
        <sz val="12"/>
        <color theme="1"/>
        <rFont val="Calibri"/>
        <family val="2"/>
        <scheme val="minor"/>
      </rPr>
      <t>asym</t>
    </r>
    <r>
      <rPr>
        <sz val="12"/>
        <color theme="1"/>
        <rFont val="Calibri"/>
        <family val="2"/>
        <scheme val="minor"/>
      </rPr>
      <t xml:space="preserve"> (asymbiontische N-Fixierung)</t>
    </r>
  </si>
  <si>
    <r>
      <t>N</t>
    </r>
    <r>
      <rPr>
        <vertAlign val="subscript"/>
        <sz val="12"/>
        <color theme="1"/>
        <rFont val="Calibri"/>
        <family val="2"/>
        <scheme val="minor"/>
      </rPr>
      <t>Nettozufluss</t>
    </r>
  </si>
  <si>
    <r>
      <t>CL</t>
    </r>
    <r>
      <rPr>
        <b/>
        <vertAlign val="subscript"/>
        <sz val="14"/>
        <color theme="1"/>
        <rFont val="Calibri"/>
        <family val="2"/>
        <scheme val="minor"/>
      </rPr>
      <t>SMB</t>
    </r>
    <r>
      <rPr>
        <b/>
        <sz val="14"/>
        <color theme="1"/>
        <rFont val="Calibri"/>
        <family val="2"/>
        <scheme val="minor"/>
      </rPr>
      <t xml:space="preserve"> (N-Bilanzsaldo)</t>
    </r>
  </si>
  <si>
    <t>LRT Code</t>
  </si>
  <si>
    <t>Pferch-Abfuhr (%)</t>
  </si>
  <si>
    <r>
      <t xml:space="preserve">mg N/L </t>
    </r>
    <r>
      <rPr>
        <vertAlign val="superscript"/>
        <sz val="14"/>
        <color theme="1"/>
        <rFont val="Calibri"/>
        <family val="2"/>
        <scheme val="minor"/>
      </rPr>
      <t>2)</t>
    </r>
  </si>
  <si>
    <r>
      <t>kg N/(ha</t>
    </r>
    <r>
      <rPr>
        <b/>
        <sz val="11"/>
        <color theme="1"/>
        <rFont val="Calibri"/>
        <family val="2"/>
      </rPr>
      <t>∙</t>
    </r>
    <r>
      <rPr>
        <sz val="11"/>
        <color theme="1"/>
        <rFont val="Calibri"/>
        <family val="2"/>
        <scheme val="minor"/>
      </rPr>
      <t>Jahr)</t>
    </r>
  </si>
  <si>
    <r>
      <t>kg N/(ha</t>
    </r>
    <r>
      <rPr>
        <b/>
        <sz val="12"/>
        <color theme="1"/>
        <rFont val="Calibri"/>
        <family val="2"/>
      </rPr>
      <t>∙</t>
    </r>
    <r>
      <rPr>
        <sz val="12"/>
        <color theme="1"/>
        <rFont val="Calibri"/>
        <family val="2"/>
        <scheme val="minor"/>
      </rPr>
      <t>Jahr)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</si>
  <si>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ue</t>
    </r>
    <r>
      <rPr>
        <b/>
        <sz val="12"/>
        <color theme="1"/>
        <rFont val="Calibri"/>
        <family val="2"/>
        <scheme val="minor"/>
      </rPr>
      <t xml:space="preserve"> (reine Mahd mit Heubereitung)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</si>
  <si>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ue</t>
    </r>
    <r>
      <rPr>
        <b/>
        <sz val="12"/>
        <color theme="1"/>
        <rFont val="Calibri"/>
        <family val="2"/>
        <scheme val="minor"/>
      </rPr>
      <t xml:space="preserve"> (reine Weidenutzung)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</si>
  <si>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de</t>
    </r>
    <r>
      <rPr>
        <b/>
        <sz val="12"/>
        <color theme="1"/>
        <rFont val="Calibri"/>
        <family val="2"/>
        <scheme val="minor"/>
      </rPr>
      <t xml:space="preserve"> (Denitrifikation + Nitrifikanten-Denitrifikation)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</si>
  <si>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i</t>
    </r>
    <r>
      <rPr>
        <b/>
        <sz val="12"/>
        <color theme="1"/>
        <rFont val="Calibri"/>
        <family val="2"/>
        <scheme val="minor"/>
      </rPr>
      <t xml:space="preserve"> (N-Immobilisation)</t>
    </r>
  </si>
  <si>
    <r>
      <t>CLN</t>
    </r>
    <r>
      <rPr>
        <b/>
        <vertAlign val="subscript"/>
        <sz val="12"/>
        <color theme="1"/>
        <rFont val="Calibri"/>
        <family val="2"/>
        <scheme val="minor"/>
      </rPr>
      <t>emp.</t>
    </r>
  </si>
  <si>
    <r>
      <t>CL</t>
    </r>
    <r>
      <rPr>
        <b/>
        <vertAlign val="subscript"/>
        <sz val="12"/>
        <color theme="1"/>
        <rFont val="Calibri"/>
        <family val="2"/>
        <scheme val="minor"/>
      </rPr>
      <t>Level</t>
    </r>
  </si>
  <si>
    <r>
      <t>(kg N ha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 xml:space="preserve"> a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>)</t>
    </r>
  </si>
  <si>
    <r>
      <t>(µg NH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Nm</t>
    </r>
    <r>
      <rPr>
        <vertAlign val="superscript"/>
        <sz val="12"/>
        <color theme="1"/>
        <rFont val="Calibri"/>
        <family val="2"/>
        <scheme val="minor"/>
      </rPr>
      <t>3 *)</t>
    </r>
    <r>
      <rPr>
        <sz val="12"/>
        <color theme="1"/>
        <rFont val="Calibri"/>
        <family val="2"/>
        <scheme val="minor"/>
      </rPr>
      <t>)</t>
    </r>
  </si>
  <si>
    <t>Notwendige "indirekte" Variablenwerte</t>
  </si>
  <si>
    <t>N-Emissionsfaktor Weide (-)</t>
  </si>
  <si>
    <t>N-Emissionsfaktor Applikation (-)</t>
  </si>
  <si>
    <r>
      <t>N</t>
    </r>
    <r>
      <rPr>
        <b/>
        <vertAlign val="subscript"/>
        <sz val="14"/>
        <color theme="1"/>
        <rFont val="Calibri"/>
        <family val="2"/>
        <scheme val="minor"/>
      </rPr>
      <t>i</t>
    </r>
  </si>
  <si>
    <r>
      <t>N</t>
    </r>
    <r>
      <rPr>
        <b/>
        <vertAlign val="subscript"/>
        <sz val="14"/>
        <color theme="1"/>
        <rFont val="Calibri"/>
        <family val="2"/>
        <scheme val="minor"/>
      </rPr>
      <t>le</t>
    </r>
  </si>
  <si>
    <r>
      <t>N</t>
    </r>
    <r>
      <rPr>
        <b/>
        <vertAlign val="subscript"/>
        <sz val="14"/>
        <color theme="1"/>
        <rFont val="Calibri"/>
        <family val="2"/>
        <scheme val="minor"/>
      </rPr>
      <t>sym</t>
    </r>
    <r>
      <rPr>
        <b/>
        <sz val="14"/>
        <color theme="1"/>
        <rFont val="Calibri"/>
        <family val="2"/>
        <scheme val="minor"/>
      </rPr>
      <t xml:space="preserve"> + N</t>
    </r>
    <r>
      <rPr>
        <b/>
        <vertAlign val="subscript"/>
        <sz val="14"/>
        <color theme="1"/>
        <rFont val="Calibri"/>
        <family val="2"/>
        <scheme val="minor"/>
      </rPr>
      <t>fer + …</t>
    </r>
  </si>
  <si>
    <t>Datenmappe 2022 "freie Eingabe ohne Zugriff auf hinterlegte Daten"</t>
  </si>
  <si>
    <r>
      <t>CL</t>
    </r>
    <r>
      <rPr>
        <b/>
        <vertAlign val="subscript"/>
        <sz val="14"/>
        <color theme="1"/>
        <rFont val="Calibri"/>
        <family val="2"/>
        <scheme val="minor"/>
      </rPr>
      <t>SMB</t>
    </r>
    <r>
      <rPr>
        <b/>
        <sz val="14"/>
        <color theme="1"/>
        <rFont val="Calibri"/>
        <family val="2"/>
        <scheme val="minor"/>
      </rPr>
      <t xml:space="preserve"> (reine Weidenutzung (100 %))</t>
    </r>
  </si>
  <si>
    <r>
      <t>CL</t>
    </r>
    <r>
      <rPr>
        <b/>
        <vertAlign val="subscript"/>
        <sz val="14"/>
        <color theme="1"/>
        <rFont val="Calibri"/>
        <family val="2"/>
        <scheme val="minor"/>
      </rPr>
      <t>SMB</t>
    </r>
    <r>
      <rPr>
        <b/>
        <sz val="14"/>
        <color theme="1"/>
        <rFont val="Calibri"/>
        <family val="2"/>
        <scheme val="minor"/>
      </rPr>
      <t xml:space="preserve"> (reine Mahd mit Heubereitung (100 %))</t>
    </r>
  </si>
  <si>
    <t>Tab 31: Critical Loads und Critical Levels und der Flächeumfang der LRTs in Deutschland und Baden-Württemberg</t>
  </si>
  <si>
    <t>zurück zu:</t>
  </si>
  <si>
    <t>03_CL_Formular_Offenland</t>
  </si>
  <si>
    <t>04_CL_Formular_Wald</t>
  </si>
  <si>
    <t>CL_Projekt</t>
  </si>
  <si>
    <t>CLeNH3_Remarks_No</t>
  </si>
  <si>
    <t>CLeNH3_Remarks_No_Text</t>
  </si>
  <si>
    <t>CLemp_N_Remarks</t>
  </si>
  <si>
    <t>CLSMB_N_Remarks</t>
  </si>
  <si>
    <t>LRT_Code</t>
  </si>
  <si>
    <t>CLNmin</t>
  </si>
  <si>
    <t>CLNmean</t>
  </si>
  <si>
    <t>CLNmax</t>
  </si>
  <si>
    <t>CLLevel_min</t>
  </si>
  <si>
    <t>CLLevel_max</t>
  </si>
  <si>
    <t>CLN_Reliabilty</t>
  </si>
  <si>
    <t>LRT_NAME</t>
  </si>
  <si>
    <t>Typ</t>
  </si>
  <si>
    <t>LRT_NAME_long</t>
  </si>
  <si>
    <t>FFH_IG_ha_DE</t>
  </si>
  <si>
    <t>FFH_IG_ha_BW</t>
  </si>
  <si>
    <t>2120</t>
  </si>
  <si>
    <t>Weißdünen mit Strandhafer (Ammophilia arenaria)</t>
  </si>
  <si>
    <t>Offen</t>
  </si>
  <si>
    <t>2130</t>
  </si>
  <si>
    <t>Festliegende Küstendünen mit krautiger Vegetation (Graudünen)</t>
  </si>
  <si>
    <t>2140</t>
  </si>
  <si>
    <t>Entkalkte Dünen mit Empetrum nigrum</t>
  </si>
  <si>
    <t>2150</t>
  </si>
  <si>
    <t>Festliegende entkalkte Dünen der atlantischen Zone (Calluno-Ulicetea)</t>
  </si>
  <si>
    <t>2160</t>
  </si>
  <si>
    <t>Dünen mit Hippophaë rhamnoides</t>
  </si>
  <si>
    <t>2170</t>
  </si>
  <si>
    <t>Dünen mit Salix repens ssp. argentea (Salicion arenariae)</t>
  </si>
  <si>
    <t>2180</t>
  </si>
  <si>
    <t>Bewaldete Dünen der atlantischen, kontinentalen und borealen Region</t>
  </si>
  <si>
    <t>2310</t>
  </si>
  <si>
    <t>Binnendünen mit Heiden</t>
  </si>
  <si>
    <t>1;2</t>
  </si>
  <si>
    <t>2320</t>
  </si>
  <si>
    <t>Trockene Sandheiden mit Calluna und Empetrum nigrum</t>
  </si>
  <si>
    <t>2330</t>
  </si>
  <si>
    <t>Binnendünen mit Magerrasen</t>
  </si>
  <si>
    <t>4010</t>
  </si>
  <si>
    <t>'Feuchte Heiden des nordatlantischen Raumes mit Erica tetralix</t>
  </si>
  <si>
    <t>4030</t>
  </si>
  <si>
    <t>#</t>
  </si>
  <si>
    <t>Trockene Heiden</t>
  </si>
  <si>
    <t>1;2;5</t>
  </si>
  <si>
    <t>4060</t>
  </si>
  <si>
    <t>Alpine und boreale Heiden</t>
  </si>
  <si>
    <t>4070</t>
  </si>
  <si>
    <t>Buschvegetation mit Pinus mugo und Rhododendron hirsutum</t>
  </si>
  <si>
    <t>'Buschvegetation mit Pinus mugo und Rhododendron hirsutum (Mugo-Rhododendretum hirsuti)</t>
  </si>
  <si>
    <t>5110</t>
  </si>
  <si>
    <t>Buchsbaum-Gebüsche trockenwarmer Standorte</t>
  </si>
  <si>
    <t>5130</t>
  </si>
  <si>
    <t>Wacholderheiden</t>
  </si>
  <si>
    <t>6110</t>
  </si>
  <si>
    <t>Kalk-Pionierrasen</t>
  </si>
  <si>
    <t>6120</t>
  </si>
  <si>
    <t>Blauschillergrasrasen (Koelerion glaucae)</t>
  </si>
  <si>
    <t>6150</t>
  </si>
  <si>
    <t>Boreo-alpines Grasland</t>
  </si>
  <si>
    <t>?</t>
  </si>
  <si>
    <t>6210</t>
  </si>
  <si>
    <t>##</t>
  </si>
  <si>
    <t>Kalk-Magerrasen (orchideenreiche Bestände)</t>
  </si>
  <si>
    <t>6212</t>
  </si>
  <si>
    <t>Submediterrane Halbtrockenrasen</t>
  </si>
  <si>
    <t>6213</t>
  </si>
  <si>
    <t xml:space="preserve">Trockenrasen (Xerobromion) </t>
  </si>
  <si>
    <t>6214</t>
  </si>
  <si>
    <t>Naturnahe Kalk-Trockenrasen und deren Verbuschungsstadien</t>
  </si>
  <si>
    <t>Naturnahe Kalk-Trockenrasen und deren Verbuschungsstadien (Festuco-Brometalia) (* besondere Bestände mit bemerkenswerten Orchideen)</t>
  </si>
  <si>
    <t>6230</t>
  </si>
  <si>
    <t>Artenreiche Borstgrasrasen</t>
  </si>
  <si>
    <t>6240</t>
  </si>
  <si>
    <t>Subpannonische Steppenrasen</t>
  </si>
  <si>
    <t>6410</t>
  </si>
  <si>
    <t>(#)</t>
  </si>
  <si>
    <t>Pfeifengraswiesen</t>
  </si>
  <si>
    <t>6430</t>
  </si>
  <si>
    <t>Feuchte Hochstaudenfluren</t>
  </si>
  <si>
    <t>6431</t>
  </si>
  <si>
    <t>6432</t>
  </si>
  <si>
    <t>Subalpine Hochstaudenfluren</t>
  </si>
  <si>
    <t>6440</t>
  </si>
  <si>
    <t>Brenndoldenwiesen</t>
  </si>
  <si>
    <t>6510</t>
  </si>
  <si>
    <t>Magere Flachland-Mähwiesen</t>
  </si>
  <si>
    <t>1;2;3</t>
  </si>
  <si>
    <t>6520</t>
  </si>
  <si>
    <t>Berg-Mähwiesen</t>
  </si>
  <si>
    <t>7110</t>
  </si>
  <si>
    <t>Naturnahe Hochmoore</t>
  </si>
  <si>
    <t>7120</t>
  </si>
  <si>
    <t>Geschädigte Hochmoore</t>
  </si>
  <si>
    <t>7140</t>
  </si>
  <si>
    <t>Übergangs- und Schwingrasenmoore</t>
  </si>
  <si>
    <t>7150</t>
  </si>
  <si>
    <t>Torfmoor-Schlenken</t>
  </si>
  <si>
    <t>7210</t>
  </si>
  <si>
    <t>Kalkreiche Sümpfe mit Schneidried</t>
  </si>
  <si>
    <t>7220</t>
  </si>
  <si>
    <t>Kalktuffquellen</t>
  </si>
  <si>
    <t>7230</t>
  </si>
  <si>
    <t>Kalkreiche Niedermoore</t>
  </si>
  <si>
    <t>8110</t>
  </si>
  <si>
    <t>Hochmontane Silikatschutthalden</t>
  </si>
  <si>
    <t>8120</t>
  </si>
  <si>
    <t>Kalk- und Kalkschieferschutthalden, montane bis alpinen Stufe</t>
  </si>
  <si>
    <t>'Kalk- und Kalkschieferschutthalden der montanen bis alpinen Stufe (Thlaspietea rotundifolii)</t>
  </si>
  <si>
    <t>8150</t>
  </si>
  <si>
    <t>Silikatschutthalden</t>
  </si>
  <si>
    <t>8160</t>
  </si>
  <si>
    <t>Kalkschutthalden</t>
  </si>
  <si>
    <t>8210</t>
  </si>
  <si>
    <t>Kalkfelsen mit Felsspaltenvegetation</t>
  </si>
  <si>
    <t>8220</t>
  </si>
  <si>
    <t>Silikatfelsen mit Felsspaltenvegetation</t>
  </si>
  <si>
    <t>8230</t>
  </si>
  <si>
    <t>Pionierrasen auf Silikatfelskuppen</t>
  </si>
  <si>
    <t>8310</t>
  </si>
  <si>
    <t>Höhlen und Balmen</t>
  </si>
  <si>
    <t>9110</t>
  </si>
  <si>
    <t>Hainsimsen-Buchenwald</t>
  </si>
  <si>
    <t>Wald</t>
  </si>
  <si>
    <t>1;5;6</t>
  </si>
  <si>
    <t>9120</t>
  </si>
  <si>
    <t>Atlant., saurer Buchenwald mit Stechpalme &amp; geleg. Eibe</t>
  </si>
  <si>
    <t>'Atlantischer, saurer Buchenwald mit Unterholz aus Stechpalme und gelegentlich Eibe (Quercion robori-petraeae oder Ilici-Fagenion)</t>
  </si>
  <si>
    <t>9130</t>
  </si>
  <si>
    <t>Waldmeister-Buchenwald</t>
  </si>
  <si>
    <t>9140</t>
  </si>
  <si>
    <t>Subalpine Buchenwälder</t>
  </si>
  <si>
    <t>9150</t>
  </si>
  <si>
    <t>Orchideen-Buchenwälder</t>
  </si>
  <si>
    <t>9160</t>
  </si>
  <si>
    <t>Sternmieren-Eichen-Hainbuchenwald</t>
  </si>
  <si>
    <t>9170</t>
  </si>
  <si>
    <t>Labkraut-Eichen-Hainbuchenwald</t>
  </si>
  <si>
    <t>1;6</t>
  </si>
  <si>
    <t>9180</t>
  </si>
  <si>
    <t>Schlucht- und Hangmischwälder</t>
  </si>
  <si>
    <t>9190</t>
  </si>
  <si>
    <t>Bodensaure Eichenwälder auf Sandebenen</t>
  </si>
  <si>
    <t>91D0</t>
  </si>
  <si>
    <t>Moorwälder</t>
  </si>
  <si>
    <t>91E0</t>
  </si>
  <si>
    <t>Auenwälder mit Erle, Esche, Weide</t>
  </si>
  <si>
    <t>91F0</t>
  </si>
  <si>
    <t xml:space="preserve"> Hartholzauwälder</t>
  </si>
  <si>
    <t>91G0</t>
  </si>
  <si>
    <t>'Pannonische Wälder mit Quercus petraea und Carpinus betulus</t>
  </si>
  <si>
    <t>91T0</t>
  </si>
  <si>
    <t>'Mitteleuropäische Flechten-Kiefernwälder</t>
  </si>
  <si>
    <t>91U0</t>
  </si>
  <si>
    <t>Steppen-Kiefernwälder</t>
  </si>
  <si>
    <t>9410</t>
  </si>
  <si>
    <t>Bodensaure Nadelwälder</t>
  </si>
  <si>
    <t>9420</t>
  </si>
  <si>
    <t>Alpiner Lärchen- und/oder Arvenwald</t>
  </si>
  <si>
    <t>9430</t>
  </si>
  <si>
    <t>Bergkiefern-Wälder (*auf Gips- oder Kalksubstrat)</t>
  </si>
  <si>
    <t>Bergkiefern-(oder Spirken-)Wälder (*auf Gips- oder Kalksubstrat)</t>
  </si>
  <si>
    <t>Leguminosen: Ertragsanteile an Biomasse-Aufwuchs (%)</t>
  </si>
  <si>
    <t>Nue</t>
  </si>
  <si>
    <r>
      <t>N</t>
    </r>
    <r>
      <rPr>
        <vertAlign val="subscript"/>
        <sz val="14"/>
        <color theme="1"/>
        <rFont val="Calibri"/>
        <family val="2"/>
      </rPr>
      <t>de</t>
    </r>
    <r>
      <rPr>
        <sz val="14"/>
        <color theme="1"/>
        <rFont val="Calibri"/>
        <family val="2"/>
      </rPr>
      <t xml:space="preserve"> Mindeswert (kg N ha</t>
    </r>
    <r>
      <rPr>
        <vertAlign val="superscript"/>
        <sz val="14"/>
        <color theme="1"/>
        <rFont val="Calibri"/>
        <family val="2"/>
      </rPr>
      <t>-1</t>
    </r>
    <r>
      <rPr>
        <sz val="14"/>
        <color theme="1"/>
        <rFont val="Calibri"/>
        <family val="2"/>
      </rPr>
      <t xml:space="preserve"> a</t>
    </r>
    <r>
      <rPr>
        <vertAlign val="superscript"/>
        <sz val="14"/>
        <color theme="1"/>
        <rFont val="Calibri"/>
        <family val="2"/>
      </rPr>
      <t>-1</t>
    </r>
    <r>
      <rPr>
        <sz val="14"/>
        <color theme="1"/>
        <rFont val="Calibri"/>
        <family val="2"/>
      </rPr>
      <t>)</t>
    </r>
  </si>
  <si>
    <t>N-Gehalt in Trockenmasse (Mahd)</t>
  </si>
  <si>
    <t>N-Gehalt in Trockenmasse (Weide)</t>
  </si>
  <si>
    <t>Trockenmasseertrag</t>
  </si>
  <si>
    <t>TM-Aufwuchsaufnahme Tier in (%) des Aufwuchs</t>
  </si>
  <si>
    <t>Kalk-Magerrasen</t>
  </si>
  <si>
    <t>Uncertainty_txt</t>
  </si>
  <si>
    <t>Uncertainty_code</t>
  </si>
  <si>
    <t>k. A.</t>
  </si>
  <si>
    <r>
      <t>sehr hohe Unsicherheit der Cl</t>
    </r>
    <r>
      <rPr>
        <vertAlign val="subscript"/>
        <sz val="11"/>
        <color theme="1"/>
        <rFont val="Calibri"/>
        <family val="2"/>
      </rPr>
      <t>emp</t>
    </r>
    <r>
      <rPr>
        <sz val="11"/>
        <color theme="1"/>
        <rFont val="Calibri"/>
        <family val="2"/>
      </rPr>
      <t>-Schätzungen</t>
    </r>
  </si>
  <si>
    <r>
      <t>mittlere Unsicherheit der Cl</t>
    </r>
    <r>
      <rPr>
        <vertAlign val="subscript"/>
        <sz val="11"/>
        <color theme="1"/>
        <rFont val="Calibri"/>
        <family val="2"/>
      </rPr>
      <t>emp</t>
    </r>
    <r>
      <rPr>
        <sz val="11"/>
        <color theme="1"/>
        <rFont val="Calibri"/>
        <family val="2"/>
      </rPr>
      <t>-Schätzungen</t>
    </r>
  </si>
  <si>
    <r>
      <t>relativ geringe Unischerheit der Cl</t>
    </r>
    <r>
      <rPr>
        <vertAlign val="subscript"/>
        <sz val="11"/>
        <color theme="1"/>
        <rFont val="Calibri"/>
        <family val="2"/>
      </rPr>
      <t>emp</t>
    </r>
    <r>
      <rPr>
        <sz val="11"/>
        <color theme="1"/>
        <rFont val="Calibri"/>
        <family val="2"/>
      </rPr>
      <t>-Schätzungen</t>
    </r>
  </si>
  <si>
    <r>
      <t>keine Cl</t>
    </r>
    <r>
      <rPr>
        <vertAlign val="subscript"/>
        <sz val="11"/>
        <color theme="1"/>
        <rFont val="Calibri"/>
        <family val="2"/>
      </rPr>
      <t>emp</t>
    </r>
    <r>
      <rPr>
        <sz val="11"/>
        <color theme="1"/>
        <rFont val="Calibri"/>
        <family val="2"/>
      </rPr>
      <t>-Schätzungen vorhanden</t>
    </r>
  </si>
  <si>
    <t>N-Retention Tier (Mutterschaf/-kuhhaltung) (%)</t>
  </si>
  <si>
    <t>Saldo</t>
  </si>
  <si>
    <t>Trophiestufe 1</t>
  </si>
  <si>
    <t>Trophiestufe 3</t>
  </si>
  <si>
    <t>Trophiestufe 2</t>
  </si>
  <si>
    <t>Berechnungsformular zur Ermittlung standortspezifischer CL für Offenlandstandorte (ohne in separaten Arbeitsblättern hinterlegte Daten)</t>
  </si>
  <si>
    <r>
      <t>N</t>
    </r>
    <r>
      <rPr>
        <b/>
        <vertAlign val="subscript"/>
        <sz val="12"/>
        <color theme="1"/>
        <rFont val="Calibri"/>
        <family val="2"/>
        <scheme val="minor"/>
      </rPr>
      <t>vol</t>
    </r>
    <r>
      <rPr>
        <b/>
        <sz val="12"/>
        <color theme="1"/>
        <rFont val="Calibri"/>
        <family val="2"/>
        <scheme val="minor"/>
      </rPr>
      <t xml:space="preserve"> (NH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-Emission bei Weide und/oder N-Düngung</t>
    </r>
  </si>
  <si>
    <t>Tr1_Wert</t>
  </si>
  <si>
    <t>Tr2_Wert</t>
  </si>
  <si>
    <t>Tr3_Wert</t>
  </si>
  <si>
    <r>
      <t>kg N/(ha</t>
    </r>
    <r>
      <rPr>
        <sz val="12"/>
        <color theme="1"/>
        <rFont val="Calibri"/>
        <family val="2"/>
      </rPr>
      <t>∙</t>
    </r>
    <r>
      <rPr>
        <sz val="12"/>
        <color theme="1"/>
        <rFont val="Calibri"/>
        <family val="2"/>
        <scheme val="minor"/>
      </rPr>
      <t>Jahr)</t>
    </r>
  </si>
  <si>
    <r>
      <t>CL</t>
    </r>
    <r>
      <rPr>
        <vertAlign val="subscript"/>
        <sz val="12"/>
        <color theme="1"/>
        <rFont val="Calibri"/>
        <family val="2"/>
        <scheme val="minor"/>
      </rPr>
      <t>SMB</t>
    </r>
    <r>
      <rPr>
        <sz val="12"/>
        <color theme="1"/>
        <rFont val="Calibri"/>
        <family val="2"/>
        <scheme val="minor"/>
      </rPr>
      <t xml:space="preserve"> (ohne Nutzung)</t>
    </r>
  </si>
  <si>
    <t>idealtypische Nutzung</t>
  </si>
  <si>
    <r>
      <t>CL</t>
    </r>
    <r>
      <rPr>
        <b/>
        <vertAlign val="subscript"/>
        <sz val="14"/>
        <color theme="1"/>
        <rFont val="Calibri"/>
        <family val="2"/>
        <scheme val="minor"/>
      </rPr>
      <t>SMB</t>
    </r>
    <r>
      <rPr>
        <b/>
        <sz val="14"/>
        <color theme="1"/>
        <rFont val="Calibri"/>
        <family val="2"/>
        <scheme val="minor"/>
      </rPr>
      <t xml:space="preserve"> (reine Mahd mit Heubereitung (100 %)) ohne Düngung</t>
    </r>
  </si>
  <si>
    <t>x - Schnitte</t>
  </si>
  <si>
    <r>
      <t>N</t>
    </r>
    <r>
      <rPr>
        <vertAlign val="subscript"/>
        <sz val="12"/>
        <color theme="1"/>
        <rFont val="Calibri"/>
        <family val="2"/>
        <scheme val="minor"/>
      </rPr>
      <t>fert</t>
    </r>
    <r>
      <rPr>
        <sz val="12"/>
        <color theme="1"/>
        <rFont val="Calibri"/>
        <family val="2"/>
        <scheme val="minor"/>
      </rPr>
      <t xml:space="preserve"> (N-Düngung: Festmist oder Flüssigmist)</t>
    </r>
  </si>
  <si>
    <r>
      <t>CL</t>
    </r>
    <r>
      <rPr>
        <b/>
        <vertAlign val="subscript"/>
        <sz val="14"/>
        <color theme="1"/>
        <rFont val="Calibri"/>
        <family val="2"/>
        <scheme val="minor"/>
      </rPr>
      <t>SMB</t>
    </r>
    <r>
      <rPr>
        <b/>
        <sz val="14"/>
        <color theme="1"/>
        <rFont val="Calibri"/>
        <family val="2"/>
        <scheme val="minor"/>
      </rPr>
      <t xml:space="preserve"> (reine Weidenutzung (100 %)) ohne Pferch</t>
    </r>
  </si>
  <si>
    <r>
      <t>Nue_Weide = E18 = (((E16*E15)/1000)*$P$5/100*$P$6/100)+(((E16*E15)/1000)*$P$5/100*(1-$P$6/100)*</t>
    </r>
    <r>
      <rPr>
        <b/>
        <sz val="14"/>
        <color rgb="FFFF0000"/>
        <rFont val="Calibri"/>
        <family val="2"/>
      </rPr>
      <t>$P$7</t>
    </r>
    <r>
      <rPr>
        <sz val="14"/>
        <color theme="1"/>
        <rFont val="Calibri"/>
        <family val="2"/>
      </rPr>
      <t>/100)</t>
    </r>
  </si>
  <si>
    <r>
      <t>Nvol = E25 = (((E16*E15)/1000)*($P$5/100)*(1-$P$6/100)*(1-</t>
    </r>
    <r>
      <rPr>
        <b/>
        <sz val="14"/>
        <color rgb="FFFF0000"/>
        <rFont val="Calibri"/>
        <family val="2"/>
      </rPr>
      <t>$P$7</t>
    </r>
    <r>
      <rPr>
        <sz val="14"/>
        <color theme="1"/>
        <rFont val="Calibri"/>
        <family val="2"/>
      </rPr>
      <t>/100)*$P$8*(E22/100))+(E29*$P$9)</t>
    </r>
  </si>
  <si>
    <t>$P$7</t>
  </si>
  <si>
    <r>
      <t>CLSMB (reine Weidenutzung (100 %)) ohne Pferch = (E12+(((E16*E15)/1000)*$P$5/100*$P$6/100)+(((E16*E15)/1000)*$P$5/100*(1-$P$6/100)*0/100)+(((E16*E15)/1000)*(P9$P$5/100)*(1-$P$6/100)*(1-0/100)*$P$8*(</t>
    </r>
    <r>
      <rPr>
        <b/>
        <sz val="14"/>
        <color rgb="FFFF0000"/>
        <rFont val="Calibri"/>
        <family val="2"/>
      </rPr>
      <t>E22</t>
    </r>
    <r>
      <rPr>
        <sz val="14"/>
        <color theme="1"/>
        <rFont val="Calibri"/>
        <family val="2"/>
      </rPr>
      <t>/100))+(E29*$P$9)+E27+E28)-(E29+E30+E31+E32)</t>
    </r>
  </si>
  <si>
    <t>Saldo 1</t>
  </si>
  <si>
    <t>Saldo 4</t>
  </si>
  <si>
    <t>Saldo 2a</t>
  </si>
  <si>
    <t>Saldo 2b</t>
  </si>
  <si>
    <t>Saldo 3a</t>
  </si>
  <si>
    <t>Saldo 3b</t>
  </si>
  <si>
    <r>
      <t>N</t>
    </r>
    <r>
      <rPr>
        <b/>
        <vertAlign val="subscript"/>
        <sz val="12"/>
        <color theme="1"/>
        <rFont val="Calibri"/>
        <family val="2"/>
        <scheme val="minor"/>
      </rPr>
      <t>le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</si>
  <si>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de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</si>
  <si>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i</t>
    </r>
  </si>
  <si>
    <t>N-Zufuhr (Summe)</t>
  </si>
  <si>
    <t>LRT-Code</t>
  </si>
  <si>
    <t>Empirische Critical Loads (Stand 2022)</t>
  </si>
  <si>
    <t>N-Gehalt (Mahd)</t>
  </si>
  <si>
    <t>Biomasseertrag</t>
  </si>
  <si>
    <t>Biomasse-Aufnahme (Weide)</t>
  </si>
  <si>
    <t>N-Gehalt (Weide)</t>
  </si>
  <si>
    <t>Nue (Weide)</t>
  </si>
  <si>
    <t>Mischnutzung</t>
  </si>
  <si>
    <r>
      <t>N</t>
    </r>
    <r>
      <rPr>
        <b/>
        <vertAlign val="subscript"/>
        <sz val="12"/>
        <color theme="1"/>
        <rFont val="Calibri"/>
        <family val="2"/>
        <scheme val="minor"/>
      </rPr>
      <t>vol</t>
    </r>
    <r>
      <rPr>
        <b/>
        <sz val="12"/>
        <color theme="1"/>
        <rFont val="Calibri"/>
        <family val="2"/>
        <scheme val="minor"/>
      </rPr>
      <t xml:space="preserve"> (Weide)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</si>
  <si>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vol</t>
    </r>
    <r>
      <rPr>
        <b/>
        <sz val="12"/>
        <color theme="1"/>
        <rFont val="Calibri"/>
        <family val="2"/>
        <scheme val="minor"/>
      </rPr>
      <t xml:space="preserve"> (Weide mit Pferch)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</si>
  <si>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vol</t>
    </r>
    <r>
      <rPr>
        <b/>
        <sz val="12"/>
        <color theme="1"/>
        <rFont val="Calibri"/>
        <family val="2"/>
        <scheme val="minor"/>
      </rPr>
      <t xml:space="preserve"> (Mischnutzung)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</si>
  <si>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vol</t>
    </r>
    <r>
      <rPr>
        <b/>
        <sz val="12"/>
        <color theme="1"/>
        <rFont val="Calibri"/>
        <family val="2"/>
        <scheme val="minor"/>
      </rPr>
      <t xml:space="preserve"> (organische Düngung)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</si>
  <si>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vol</t>
    </r>
    <r>
      <rPr>
        <b/>
        <sz val="12"/>
        <color theme="1"/>
        <rFont val="Calibri"/>
        <family val="2"/>
        <scheme val="minor"/>
      </rPr>
      <t xml:space="preserve"> (Pferch)</t>
    </r>
  </si>
  <si>
    <t>Denitrifikationsfaktor</t>
  </si>
  <si>
    <t>Leguminosen Ertragsanteil</t>
  </si>
  <si>
    <t>Nue (Weide mit Pferch)</t>
  </si>
  <si>
    <r>
      <t xml:space="preserve">    N</t>
    </r>
    <r>
      <rPr>
        <b/>
        <vertAlign val="subscript"/>
        <sz val="12"/>
        <color theme="1"/>
        <rFont val="Calibri"/>
        <family val="2"/>
        <scheme val="minor"/>
      </rPr>
      <t>ue</t>
    </r>
    <r>
      <rPr>
        <b/>
        <sz val="12"/>
        <color theme="1"/>
        <rFont val="Calibri"/>
        <family val="2"/>
        <scheme val="minor"/>
      </rPr>
      <t xml:space="preserve"> (Mischnutzung)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</si>
  <si>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ue</t>
    </r>
    <r>
      <rPr>
        <b/>
        <sz val="12"/>
        <color theme="1"/>
        <rFont val="Calibri"/>
        <family val="2"/>
        <scheme val="minor"/>
      </rPr>
      <t xml:space="preserve"> Wiese (Mahd)</t>
    </r>
  </si>
  <si>
    <r>
      <t>N</t>
    </r>
    <r>
      <rPr>
        <vertAlign val="subscript"/>
        <sz val="12"/>
        <color theme="1"/>
        <rFont val="Calibri"/>
        <family val="2"/>
        <scheme val="minor"/>
      </rPr>
      <t>crit</t>
    </r>
  </si>
  <si>
    <t>Weide-Korrekturfaktor</t>
  </si>
  <si>
    <t>N-Aufnahme (Tier)</t>
  </si>
  <si>
    <t>N-Ausscheidung Pferch</t>
  </si>
  <si>
    <t>Großvieheinheit (Weide)</t>
  </si>
  <si>
    <t>Anteil Mahd</t>
  </si>
  <si>
    <t>Anteil Beweidung</t>
  </si>
  <si>
    <t>Anteil Beweidung mit Pferch</t>
  </si>
  <si>
    <r>
      <t>CL</t>
    </r>
    <r>
      <rPr>
        <vertAlign val="subscript"/>
        <sz val="12"/>
        <color theme="1"/>
        <rFont val="Calibri"/>
        <family val="2"/>
        <scheme val="minor"/>
      </rPr>
      <t>SMB</t>
    </r>
    <r>
      <rPr>
        <sz val="12"/>
        <color theme="1"/>
        <rFont val="Calibri"/>
        <family val="2"/>
        <scheme val="minor"/>
      </rPr>
      <t xml:space="preserve"> ohne N-Export</t>
    </r>
  </si>
  <si>
    <r>
      <t>CL</t>
    </r>
    <r>
      <rPr>
        <vertAlign val="subscript"/>
        <sz val="12"/>
        <color theme="1"/>
        <rFont val="Calibri"/>
        <family val="2"/>
        <scheme val="minor"/>
      </rPr>
      <t>SMB</t>
    </r>
    <r>
      <rPr>
        <sz val="12"/>
        <color theme="1"/>
        <rFont val="Calibri"/>
        <family val="2"/>
        <scheme val="minor"/>
      </rPr>
      <t xml:space="preserve"> gedüngte Wiese</t>
    </r>
  </si>
  <si>
    <r>
      <t>CL</t>
    </r>
    <r>
      <rPr>
        <vertAlign val="subscript"/>
        <sz val="12"/>
        <color theme="1"/>
        <rFont val="Calibri"/>
        <family val="2"/>
        <scheme val="minor"/>
      </rPr>
      <t>SMB</t>
    </r>
    <r>
      <rPr>
        <sz val="12"/>
        <color theme="1"/>
        <rFont val="Calibri"/>
        <family val="2"/>
        <scheme val="minor"/>
      </rPr>
      <t xml:space="preserve"> Weide</t>
    </r>
  </si>
  <si>
    <r>
      <t>CL</t>
    </r>
    <r>
      <rPr>
        <vertAlign val="subscript"/>
        <sz val="12"/>
        <color theme="1"/>
        <rFont val="Calibri"/>
        <family val="2"/>
        <scheme val="minor"/>
      </rPr>
      <t>SMB</t>
    </r>
    <r>
      <rPr>
        <sz val="12"/>
        <color theme="1"/>
        <rFont val="Calibri"/>
        <family val="2"/>
        <scheme val="minor"/>
      </rPr>
      <t xml:space="preserve"> Weide mit Pferch</t>
    </r>
  </si>
  <si>
    <r>
      <t>CL</t>
    </r>
    <r>
      <rPr>
        <vertAlign val="subscript"/>
        <sz val="12"/>
        <color theme="1"/>
        <rFont val="Calibri"/>
        <family val="2"/>
        <scheme val="minor"/>
      </rPr>
      <t>SMB</t>
    </r>
    <r>
      <rPr>
        <sz val="12"/>
        <color theme="1"/>
        <rFont val="Calibri"/>
        <family val="2"/>
        <scheme val="minor"/>
      </rPr>
      <t xml:space="preserve"> ungedüngte Wiese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</si>
  <si>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fert</t>
    </r>
  </si>
  <si>
    <r>
      <t>N</t>
    </r>
    <r>
      <rPr>
        <vertAlign val="subscript"/>
        <sz val="12"/>
        <color theme="1"/>
        <rFont val="Calibri"/>
        <family val="2"/>
        <scheme val="minor"/>
      </rPr>
      <t>asym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</si>
  <si>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sym</t>
    </r>
  </si>
  <si>
    <t>Text</t>
  </si>
  <si>
    <t>% vom Aufwuchs</t>
  </si>
  <si>
    <r>
      <t>CL</t>
    </r>
    <r>
      <rPr>
        <vertAlign val="subscript"/>
        <sz val="12"/>
        <color theme="1"/>
        <rFont val="Calibri"/>
        <family val="2"/>
        <scheme val="minor"/>
      </rPr>
      <t>SMB</t>
    </r>
    <r>
      <rPr>
        <sz val="12"/>
        <color theme="1"/>
        <rFont val="Calibri"/>
        <family val="2"/>
        <scheme val="minor"/>
      </rPr>
      <t xml:space="preserve"> Mischnutzung</t>
    </r>
  </si>
  <si>
    <t>Info</t>
  </si>
  <si>
    <r>
      <t>N</t>
    </r>
    <r>
      <rPr>
        <b/>
        <vertAlign val="subscript"/>
        <sz val="12"/>
        <color theme="1"/>
        <rFont val="Calibri"/>
        <family val="2"/>
        <scheme val="minor"/>
      </rPr>
      <t>vol</t>
    </r>
  </si>
  <si>
    <r>
      <t>N</t>
    </r>
    <r>
      <rPr>
        <b/>
        <vertAlign val="subscript"/>
        <sz val="11"/>
        <color theme="1"/>
        <rFont val="Calibri"/>
        <family val="2"/>
      </rPr>
      <t xml:space="preserve">ue </t>
    </r>
  </si>
  <si>
    <t>Schnittzeitpunkt</t>
  </si>
  <si>
    <t>spät</t>
  </si>
  <si>
    <r>
      <t>mg N L</t>
    </r>
    <r>
      <rPr>
        <vertAlign val="superscript"/>
        <sz val="12"/>
        <color theme="1"/>
        <rFont val="Calibri"/>
        <family val="2"/>
        <scheme val="minor"/>
      </rPr>
      <t>-1</t>
    </r>
  </si>
  <si>
    <r>
      <t>mm a</t>
    </r>
    <r>
      <rPr>
        <vertAlign val="superscript"/>
        <sz val="12"/>
        <color theme="1"/>
        <rFont val="Calibri"/>
        <family val="2"/>
        <scheme val="minor"/>
      </rPr>
      <t>-1</t>
    </r>
  </si>
  <si>
    <r>
      <t>kg N ha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 xml:space="preserve"> a</t>
    </r>
    <r>
      <rPr>
        <vertAlign val="superscript"/>
        <sz val="12"/>
        <color theme="1"/>
        <rFont val="Calibri"/>
        <family val="2"/>
        <scheme val="minor"/>
      </rPr>
      <t>-1</t>
    </r>
  </si>
  <si>
    <r>
      <t>g N kg TM</t>
    </r>
    <r>
      <rPr>
        <vertAlign val="superscript"/>
        <sz val="12"/>
        <color theme="1"/>
        <rFont val="Calibri"/>
        <family val="2"/>
        <scheme val="minor"/>
      </rPr>
      <t>-1</t>
    </r>
  </si>
  <si>
    <r>
      <t>dt TM ha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 xml:space="preserve"> a</t>
    </r>
    <r>
      <rPr>
        <vertAlign val="superscript"/>
        <sz val="12"/>
        <color theme="1"/>
        <rFont val="Calibri"/>
        <family val="2"/>
        <scheme val="minor"/>
      </rPr>
      <t>-1</t>
    </r>
  </si>
  <si>
    <t>Bilanzglied Abkürzung</t>
  </si>
  <si>
    <r>
      <t>GV ha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 xml:space="preserve"> a</t>
    </r>
    <r>
      <rPr>
        <vertAlign val="superscript"/>
        <sz val="12"/>
        <color theme="1"/>
        <rFont val="Calibri"/>
        <family val="2"/>
        <scheme val="minor"/>
      </rPr>
      <t>-1</t>
    </r>
  </si>
  <si>
    <r>
      <t xml:space="preserve">µg </t>
    </r>
    <r>
      <rPr>
        <sz val="12"/>
        <rFont val="Calibri"/>
        <family val="2"/>
        <scheme val="minor"/>
      </rPr>
      <t>NH</t>
    </r>
    <r>
      <rPr>
        <vertAlign val="subscript"/>
        <sz val="12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/ m</t>
    </r>
    <r>
      <rPr>
        <vertAlign val="superscript"/>
        <sz val="12"/>
        <color theme="1"/>
        <rFont val="Calibri"/>
        <family val="2"/>
        <scheme val="minor"/>
      </rPr>
      <t>3</t>
    </r>
  </si>
  <si>
    <t>Schnittanzahl</t>
  </si>
  <si>
    <t>Critical Level</t>
  </si>
  <si>
    <t>gebietsüblich</t>
  </si>
  <si>
    <t>10 - 20 (25)</t>
  </si>
  <si>
    <r>
      <t>N</t>
    </r>
    <r>
      <rPr>
        <vertAlign val="subscript"/>
        <sz val="12"/>
        <color theme="1"/>
        <rFont val="Calibri"/>
        <family val="2"/>
        <scheme val="minor"/>
      </rPr>
      <t>le</t>
    </r>
    <r>
      <rPr>
        <sz val="12"/>
        <color theme="1"/>
        <rFont val="Calibri"/>
        <family val="2"/>
        <scheme val="minor"/>
      </rPr>
      <t xml:space="preserve"> Formelergebnis</t>
    </r>
  </si>
  <si>
    <r>
      <t>kg N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</si>
  <si>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le</t>
    </r>
    <r>
      <rPr>
        <b/>
        <sz val="12"/>
        <color theme="1"/>
        <rFont val="Calibri"/>
        <family val="2"/>
        <scheme val="minor"/>
      </rPr>
      <t xml:space="preserve"> Limit</t>
    </r>
  </si>
  <si>
    <t>Kontakt</t>
  </si>
  <si>
    <t>Hinweis</t>
  </si>
  <si>
    <t>stickstoff@lubw.bwl.de</t>
  </si>
  <si>
    <t>Stand</t>
  </si>
  <si>
    <t>Zeile</t>
  </si>
  <si>
    <t>Variablenname</t>
  </si>
  <si>
    <t>Erläuterung</t>
  </si>
  <si>
    <t>Z03</t>
  </si>
  <si>
    <t>Typisierung des Stickstoffhaushaltes; Ermittlung über Artenkatalog und Strukturmerkmale</t>
  </si>
  <si>
    <t>Z05</t>
  </si>
  <si>
    <t>mg N L-1</t>
  </si>
  <si>
    <t>Kritische N-Konzentration in der Bodenlösung</t>
  </si>
  <si>
    <t>Z06</t>
  </si>
  <si>
    <t>mm a-1</t>
  </si>
  <si>
    <t>Sickerwasserrate</t>
  </si>
  <si>
    <t>Z07</t>
  </si>
  <si>
    <t xml:space="preserve">Nle </t>
  </si>
  <si>
    <t>kg N ha-1 a-1</t>
  </si>
  <si>
    <t>N-Auswaschung (acceptable leaching) mit dem Sickerwasser</t>
  </si>
  <si>
    <t>Z08</t>
  </si>
  <si>
    <t>Info Schnittanzahl in Abhängigkeit vom Biomasseertrag; für die Setzung des N-Gehalts von Relevanz</t>
  </si>
  <si>
    <t>Z09</t>
  </si>
  <si>
    <t>Schnittzeitpunkt(e)</t>
  </si>
  <si>
    <t>Info Schnittzeitpunkt für die Setzung des N-Gehalts von Relevanz</t>
  </si>
  <si>
    <t>Z10</t>
  </si>
  <si>
    <t>g N kg TM-1</t>
  </si>
  <si>
    <t>N-Gehalt im Erntegut zum Zeitpunkt der Mahd bezogen auf die Trockenmasse</t>
  </si>
  <si>
    <t>Z11</t>
  </si>
  <si>
    <t>dt TM ha-1 a-1</t>
  </si>
  <si>
    <t>Z12</t>
  </si>
  <si>
    <t>Nue Wiese (Mahd)</t>
  </si>
  <si>
    <t>N-Abfuhr (uptake export) des Mähguts (Heu- oder Silagebereitung)</t>
  </si>
  <si>
    <t>Z13</t>
  </si>
  <si>
    <t>Korrekturfaktor der den Biomasse-Aufwuchs bei Weide und die Biomasse-Aufnahme des Weidetiers berücksichtigt (% des Biomasseertrages der Mahd)</t>
  </si>
  <si>
    <t>Z14</t>
  </si>
  <si>
    <t>kg TM ha-1 a-1</t>
  </si>
  <si>
    <t>Biomasse (Trockenmasse)-Aufnahme der Weidetiere auf der Weide</t>
  </si>
  <si>
    <t>Z15</t>
  </si>
  <si>
    <t>GV/ha</t>
  </si>
  <si>
    <t>Vergleichsmaßstab für die Bemessung der Viehbesatzdichte bei 100% Weidenutzung; berechnet nach der zur Verfügung stehenden metabolischen Energie (ME) für Aufzuchtrinder</t>
  </si>
  <si>
    <t>Z16</t>
  </si>
  <si>
    <t>N-Gehalt in der Biomasse (Weideaufwuchs), bezogen auf die Trockenmasse</t>
  </si>
  <si>
    <t>Z17</t>
  </si>
  <si>
    <t>N-Aufnahme der Tier aus dem Weideaufwuchs</t>
  </si>
  <si>
    <t>Z18</t>
  </si>
  <si>
    <t>N-Retention  (Tier)</t>
  </si>
  <si>
    <t>N-Ansatz (z.B. Fleischansatz) in tierischen Produkten (Wolle, Fleisch etc.); mittlerer Wert für extensive Mutterschaf- und Mutterkuhhaltung</t>
  </si>
  <si>
    <t>Z19</t>
  </si>
  <si>
    <t>N-Abfuhr (uptake export) bei Weidenutzung ohne Pferch (N-Ansatz in tierischen Produkten)</t>
  </si>
  <si>
    <t>Z20</t>
  </si>
  <si>
    <t>N-Export (Abfuhr) von der Weide in Form der im Pferch oder im Stall ausgeschiedenen Exkrementen in % der Gesamt-N-Menge in Exkrementen</t>
  </si>
  <si>
    <t>Z21</t>
  </si>
  <si>
    <t>N-Ausscheidung im Pferch oder Stall</t>
  </si>
  <si>
    <t>Z22</t>
  </si>
  <si>
    <t>N-Abfuhr (uptake export) bei Weidenutzung mit Pferch; N-Ansatz in tierischen Produkten durch Weidenutzung + ## N-Ausscheidung im Pferch/Stall</t>
  </si>
  <si>
    <t>Z23</t>
  </si>
  <si>
    <t>Textfeld</t>
  </si>
  <si>
    <t>Freitextfeld optional (z.B. 1-Schnitt Wiese mit Nachweide), Beispielhafte Benennungen mit prozentualen Nutzungsanteilen siehe Kapitel ### (Mulchen mit Verbleib der Biomasse auf der Fläche führt zu Export &lt; 100%)</t>
  </si>
  <si>
    <t>Z24</t>
  </si>
  <si>
    <t>% v.Aufwuchs</t>
  </si>
  <si>
    <t>Charakterisierung des durchschnittlichen Nutzungsregimes  auf Basis von prozentualen Nutzungsanteilen des Aufwuchses für Wiese (Mahd)</t>
  </si>
  <si>
    <t>Z25</t>
  </si>
  <si>
    <t>Z26</t>
  </si>
  <si>
    <t>… Beweidung mit Pferch</t>
  </si>
  <si>
    <t>Z27</t>
  </si>
  <si>
    <t>Nue (Mischnutzung)</t>
  </si>
  <si>
    <t>N-Abfuhr (uptake export) für verwendete prozentuale Nutzungsanteile (Mischnutzung)</t>
  </si>
  <si>
    <t>Z28</t>
  </si>
  <si>
    <t>NH3-Emissionsfaktor bei Weidenutzung: NH3-N-Emissionen in % der N-Ausscheidungen auf der Weide</t>
  </si>
  <si>
    <t>Z29</t>
  </si>
  <si>
    <t>Nvol (Weide)</t>
  </si>
  <si>
    <t>NH3-N-Emissionen auf der Weide ohne Pferch</t>
  </si>
  <si>
    <t>Z30</t>
  </si>
  <si>
    <t>Nvol (Weide mit Pferch)</t>
  </si>
  <si>
    <t>NH3-N-Emissionen auf der Weide mit Pferch</t>
  </si>
  <si>
    <t>Z31</t>
  </si>
  <si>
    <t>Nvol (Mischnutzung)</t>
  </si>
  <si>
    <t>Z32</t>
  </si>
  <si>
    <t>NH3-Emissionsfaktor während und nach der Ausbringung von organischen Düngemittel in Prozent der aufgebrachten N-Menge, Faktor für Stallmist und Gülle (bezogen auf das Jahr der Ausbringung)</t>
  </si>
  <si>
    <t>Z33</t>
  </si>
  <si>
    <t>Nvol (org. Düngung)</t>
  </si>
  <si>
    <t xml:space="preserve">NH3-N-Emissionen nach der Ausbringung von organischen Düngemitteln </t>
  </si>
  <si>
    <t>Z34</t>
  </si>
  <si>
    <t>Z35</t>
  </si>
  <si>
    <t>Nvol (Pferch)</t>
  </si>
  <si>
    <t>Z36</t>
  </si>
  <si>
    <t>Denitrifikationsfaktor (fde)</t>
  </si>
  <si>
    <t>Z37</t>
  </si>
  <si>
    <t>Nde</t>
  </si>
  <si>
    <t>N-Emissionen durch Denitrifikationsprozesse</t>
  </si>
  <si>
    <t>Z38</t>
  </si>
  <si>
    <t>Ni</t>
  </si>
  <si>
    <t>Z39</t>
  </si>
  <si>
    <t>Nfert</t>
  </si>
  <si>
    <t>N-Zufuhr durch Düngung (z.B. Festmist oder Flüssigmist)</t>
  </si>
  <si>
    <t>Z40</t>
  </si>
  <si>
    <t>Ertragsanteile von Leguminosen am Biomasse-Aufwuchs (%)</t>
  </si>
  <si>
    <t>Z41</t>
  </si>
  <si>
    <t xml:space="preserve">Nsym </t>
  </si>
  <si>
    <t>N-Zufuhr durch symbiontische N-Fixierung</t>
  </si>
  <si>
    <t>Z42</t>
  </si>
  <si>
    <t>Nasym</t>
  </si>
  <si>
    <t>N-Zufuhr durch asymbiontische N-Fixierung</t>
  </si>
  <si>
    <t>NNettozufluss</t>
  </si>
  <si>
    <t>N-Zufuhr durch Wasserflüsse (N-Nettozufluss), z.B. lateral oder Bewässerung, Auenregime ##</t>
  </si>
  <si>
    <t>Summe der berücksichtigten N-Zufuhren</t>
  </si>
  <si>
    <t>CLSMB ohne N-Export</t>
  </si>
  <si>
    <t>CLSMB ohne N-Export, z.B. keine Mähgutabfuhr und keine N-Zufuhr durch N-Düngung</t>
  </si>
  <si>
    <t>CLSMB Wiese</t>
  </si>
  <si>
    <t>CLSMB Wiese, Mahd mit Heu- oder Silobereitung, ohne Düngung</t>
  </si>
  <si>
    <t>CLSMB Wiese (gedüngt)</t>
  </si>
  <si>
    <t>CLSMB Wiese, Mahd mit Heu- oder Silobereitung, mit Düngung</t>
  </si>
  <si>
    <t>CLSMB Weide</t>
  </si>
  <si>
    <t>CLSMB Weidenutzung ohne Pferch (ohne weitere Düngung)</t>
  </si>
  <si>
    <t>CLSMB Weide mit Pferch</t>
  </si>
  <si>
    <t>CLSMB Weidenutzung mit Pferch (ohne weitere Düngung)</t>
  </si>
  <si>
    <t>CLSMB Mischnutzung</t>
  </si>
  <si>
    <t>CLSMB Mischnutzung entsprechend prozentualer Aufteilung</t>
  </si>
  <si>
    <t>Empirische Critical Load</t>
  </si>
  <si>
    <t>Empirische Critical Load (Kapitel ##)</t>
  </si>
  <si>
    <t xml:space="preserve">Ncrit </t>
  </si>
  <si>
    <t xml:space="preserve">Biomasseertrag </t>
  </si>
  <si>
    <t xml:space="preserve">Mischnutzung </t>
  </si>
  <si>
    <t xml:space="preserve">… Beweidung ohne Pferch </t>
  </si>
  <si>
    <t xml:space="preserve">NH3-N-Emissionen bei Mischnutzung </t>
  </si>
  <si>
    <t>NH3-Emission aus dem Pferch/Stall - Information für Ausbreitungsberechnungen</t>
  </si>
  <si>
    <t xml:space="preserve">N-Immobilisation im Humus </t>
  </si>
  <si>
    <t>N-Retentionsfaktor (Tier)</t>
  </si>
  <si>
    <t>N-Export Pferchfaktor</t>
  </si>
  <si>
    <t>Emissionsfaktor Ammoniak Weide</t>
  </si>
  <si>
    <t>Emissionsfaktor Ammoniak Düngung</t>
  </si>
  <si>
    <t>Emissionsfaktor Ammoniak Pferch</t>
  </si>
  <si>
    <t>NH3-Emissionsfaktor Ammoniak Pferch: N-Verluste in % N der N-Ausscheidungen im Pferch</t>
  </si>
  <si>
    <t>3,0 (4,0)</t>
  </si>
  <si>
    <t>2024</t>
  </si>
  <si>
    <t>Erläuterung siehe Beitrag "Flächenspezifische Critical Loads für Stickstoff am Beispiel von FFH-Mähwiesen"</t>
  </si>
  <si>
    <t>Landesanstalt für Umwelt Baden-Württemberg, 
Ref. 23  Medienübergreifende Umweltbeobachtung, Kompetenzzentrum Klimawandel</t>
  </si>
  <si>
    <t>Nachdruck – auch auszugsweise – ist nur mit Zustimmung des Herausgebers unter
Quellenangabe und Überlassung von Belegexemplaren gestattet.</t>
  </si>
  <si>
    <t>Bericht Umweltdaten 2024 
Anhang CL Datenmappe, Blatt LRT 6510</t>
  </si>
  <si>
    <t>Herausgeber</t>
  </si>
  <si>
    <t>Tr1 Min</t>
  </si>
  <si>
    <t>Tr1 Median</t>
  </si>
  <si>
    <t>Tr1 Max</t>
  </si>
  <si>
    <t>Tr2 Min</t>
  </si>
  <si>
    <t>Tr2 Median</t>
  </si>
  <si>
    <t>Tr2 max</t>
  </si>
  <si>
    <t>Tr3 Min</t>
  </si>
  <si>
    <t>Tr3 Median</t>
  </si>
  <si>
    <t>Tr3 Max</t>
  </si>
  <si>
    <t>Trophiestufe (Tr)</t>
  </si>
  <si>
    <t>Trophiestufe 1 (Tr1)</t>
  </si>
  <si>
    <t>Trophiestufe 2 (Tr2)</t>
  </si>
  <si>
    <t>Trophiestufe 3 (Tr3)</t>
  </si>
  <si>
    <t>LRT-Code 6510 Magere Flachland-Mähwiesen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</si>
</sst>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6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vertAlign val="superscript"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8"/>
      <color rgb="FF000000"/>
      <name val="Arial"/>
      <family val="2"/>
    </font>
    <font>
      <sz val="11"/>
      <color rgb="FF008000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7030A0"/>
      <name val="Calibri"/>
      <family val="2"/>
    </font>
    <font>
      <vertAlign val="subscript"/>
      <sz val="14"/>
      <color theme="1"/>
      <name val="Calibri"/>
      <family val="2"/>
    </font>
    <font>
      <vertAlign val="superscript"/>
      <sz val="14"/>
      <color theme="1"/>
      <name val="Calibri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vertAlign val="subscript"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vertAlign val="subscript"/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D4"/>
        <bgColor indexed="64"/>
      </patternFill>
    </fill>
    <fill>
      <patternFill patternType="solid">
        <fgColor rgb="FFFFF9D4"/>
        <bgColor rgb="FFC5C6C6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auto="1"/>
      </right>
      <top/>
      <bottom style="dashed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auto="1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auto="1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auto="1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2" fillId="2" borderId="0" applyNumberFormat="0" applyBorder="0" applyAlignment="0" applyProtection="0"/>
    <xf numFmtId="9" fontId="53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57" fillId="0" borderId="0" applyNumberFormat="0" applyFill="0" applyBorder="0" applyAlignment="0" applyProtection="0"/>
  </cellStyleXfs>
  <cellXfs count="6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8" fillId="0" borderId="3" xfId="1" applyNumberFormat="1" applyFont="1" applyFill="1" applyBorder="1" applyAlignment="1" applyProtection="1"/>
    <xf numFmtId="164" fontId="11" fillId="0" borderId="4" xfId="1" applyNumberFormat="1" applyFont="1" applyFill="1" applyBorder="1" applyAlignment="1" applyProtection="1">
      <alignment horizontal="left"/>
    </xf>
    <xf numFmtId="164" fontId="8" fillId="0" borderId="6" xfId="1" applyNumberFormat="1" applyFont="1" applyFill="1" applyBorder="1" applyAlignment="1" applyProtection="1"/>
    <xf numFmtId="164" fontId="11" fillId="0" borderId="1" xfId="1" applyNumberFormat="1" applyFont="1" applyFill="1" applyBorder="1" applyAlignment="1" applyProtection="1">
      <alignment horizontal="left"/>
    </xf>
    <xf numFmtId="164" fontId="8" fillId="0" borderId="9" xfId="1" applyNumberFormat="1" applyFont="1" applyFill="1" applyBorder="1" applyAlignment="1" applyProtection="1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4" fillId="0" borderId="0" xfId="0" applyFont="1" applyAlignment="1" applyProtection="1">
      <alignment horizontal="center"/>
    </xf>
    <xf numFmtId="0" fontId="8" fillId="0" borderId="0" xfId="0" applyFont="1" applyProtection="1"/>
    <xf numFmtId="1" fontId="9" fillId="0" borderId="0" xfId="0" applyNumberFormat="1" applyFont="1" applyAlignment="1" applyProtection="1">
      <alignment horizontal="center"/>
    </xf>
    <xf numFmtId="1" fontId="6" fillId="0" borderId="0" xfId="0" applyNumberFormat="1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1" fontId="6" fillId="0" borderId="10" xfId="0" applyNumberFormat="1" applyFont="1" applyBorder="1" applyAlignment="1" applyProtection="1">
      <alignment horizontal="center"/>
    </xf>
    <xf numFmtId="1" fontId="6" fillId="0" borderId="11" xfId="0" applyNumberFormat="1" applyFont="1" applyBorder="1" applyAlignment="1" applyProtection="1">
      <alignment horizontal="center"/>
    </xf>
    <xf numFmtId="0" fontId="14" fillId="0" borderId="9" xfId="0" applyFont="1" applyBorder="1" applyAlignment="1" applyProtection="1"/>
    <xf numFmtId="0" fontId="14" fillId="0" borderId="10" xfId="0" applyFont="1" applyBorder="1" applyAlignment="1" applyProtection="1">
      <alignment horizontal="right" vertical="center"/>
    </xf>
    <xf numFmtId="0" fontId="14" fillId="0" borderId="6" xfId="0" applyFont="1" applyBorder="1" applyAlignment="1" applyProtection="1">
      <alignment horizontal="right" indent="2"/>
    </xf>
    <xf numFmtId="0" fontId="16" fillId="0" borderId="1" xfId="0" applyFont="1" applyBorder="1" applyAlignment="1" applyProtection="1">
      <alignment horizontal="left" indent="36"/>
    </xf>
    <xf numFmtId="0" fontId="12" fillId="0" borderId="1" xfId="0" applyFont="1" applyBorder="1" applyAlignment="1" applyProtection="1">
      <alignment horizontal="center"/>
    </xf>
    <xf numFmtId="49" fontId="8" fillId="0" borderId="19" xfId="0" applyNumberFormat="1" applyFont="1" applyBorder="1" applyAlignment="1" applyProtection="1">
      <alignment horizontal="center" vertical="center" wrapText="1"/>
    </xf>
    <xf numFmtId="49" fontId="8" fillId="0" borderId="20" xfId="0" applyNumberFormat="1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4" fillId="0" borderId="0" xfId="0" quotePrefix="1" applyFont="1" applyAlignment="1" applyProtection="1">
      <alignment horizontal="center" vertical="center"/>
    </xf>
    <xf numFmtId="49" fontId="4" fillId="0" borderId="35" xfId="0" quotePrefix="1" applyNumberFormat="1" applyFont="1" applyBorder="1" applyAlignment="1" applyProtection="1">
      <alignment horizontal="center" vertical="center" textRotation="90" wrapText="1"/>
    </xf>
    <xf numFmtId="0" fontId="4" fillId="0" borderId="0" xfId="0" applyFont="1" applyAlignment="1" applyProtection="1">
      <alignment horizontal="center" vertical="center"/>
    </xf>
    <xf numFmtId="49" fontId="4" fillId="0" borderId="40" xfId="0" quotePrefix="1" applyNumberFormat="1" applyFont="1" applyBorder="1" applyAlignment="1" applyProtection="1">
      <alignment horizontal="center" vertical="center" textRotation="90" wrapText="1"/>
    </xf>
    <xf numFmtId="49" fontId="4" fillId="0" borderId="0" xfId="0" quotePrefix="1" applyNumberFormat="1" applyFont="1" applyAlignment="1" applyProtection="1">
      <alignment horizontal="center" vertical="center" textRotation="90" wrapText="1"/>
    </xf>
    <xf numFmtId="0" fontId="8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8" fillId="3" borderId="0" xfId="0" applyFont="1" applyFill="1"/>
    <xf numFmtId="0" fontId="0" fillId="3" borderId="0" xfId="0" applyFill="1"/>
    <xf numFmtId="1" fontId="8" fillId="0" borderId="0" xfId="0" applyNumberFormat="1" applyFont="1" applyAlignment="1">
      <alignment horizontal="center" vertical="center"/>
    </xf>
    <xf numFmtId="1" fontId="32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0" fontId="0" fillId="0" borderId="0" xfId="0" quotePrefix="1" applyAlignment="1">
      <alignment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3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28" fillId="0" borderId="0" xfId="0" applyFont="1" applyFill="1" applyBorder="1" applyAlignment="1">
      <alignment horizontal="left" indent="1"/>
    </xf>
    <xf numFmtId="0" fontId="0" fillId="0" borderId="0" xfId="0" applyFill="1"/>
    <xf numFmtId="0" fontId="3" fillId="0" borderId="0" xfId="0" applyFont="1" applyFill="1"/>
    <xf numFmtId="0" fontId="25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49" fontId="43" fillId="0" borderId="49" xfId="0" quotePrefix="1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left" vertical="center" indent="2"/>
    </xf>
    <xf numFmtId="0" fontId="30" fillId="0" borderId="1" xfId="0" applyFont="1" applyBorder="1" applyAlignment="1" applyProtection="1">
      <alignment horizontal="left" indent="3"/>
    </xf>
    <xf numFmtId="0" fontId="30" fillId="0" borderId="7" xfId="0" applyFont="1" applyBorder="1" applyAlignment="1" applyProtection="1">
      <alignment horizontal="left" indent="3"/>
    </xf>
    <xf numFmtId="49" fontId="19" fillId="0" borderId="8" xfId="0" applyNumberFormat="1" applyFont="1" applyFill="1" applyBorder="1" applyAlignment="1" applyProtection="1">
      <alignment horizontal="left" vertical="center" wrapText="1" indent="3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left" vertical="top" wrapText="1" indent="3"/>
    </xf>
    <xf numFmtId="49" fontId="8" fillId="0" borderId="27" xfId="0" applyNumberFormat="1" applyFont="1" applyFill="1" applyBorder="1" applyAlignment="1" applyProtection="1">
      <alignment horizontal="left" vertical="center" wrapText="1" indent="1"/>
    </xf>
    <xf numFmtId="49" fontId="5" fillId="0" borderId="28" xfId="0" applyNumberFormat="1" applyFont="1" applyFill="1" applyBorder="1" applyAlignment="1" applyProtection="1">
      <alignment horizontal="center" vertical="center" wrapText="1"/>
    </xf>
    <xf numFmtId="164" fontId="8" fillId="0" borderId="27" xfId="0" quotePrefix="1" applyNumberFormat="1" applyFont="1" applyFill="1" applyBorder="1" applyAlignment="1" applyProtection="1">
      <alignment horizontal="center" vertical="center"/>
    </xf>
    <xf numFmtId="164" fontId="8" fillId="0" borderId="28" xfId="0" quotePrefix="1" applyNumberFormat="1" applyFont="1" applyFill="1" applyBorder="1" applyAlignment="1" applyProtection="1">
      <alignment horizontal="center" vertical="center"/>
    </xf>
    <xf numFmtId="164" fontId="8" fillId="0" borderId="29" xfId="0" quotePrefix="1" applyNumberFormat="1" applyFont="1" applyFill="1" applyBorder="1" applyAlignment="1" applyProtection="1">
      <alignment horizontal="center" vertical="center"/>
    </xf>
    <xf numFmtId="164" fontId="8" fillId="0" borderId="30" xfId="0" quotePrefix="1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indent="5"/>
    </xf>
    <xf numFmtId="49" fontId="19" fillId="0" borderId="8" xfId="0" applyNumberFormat="1" applyFont="1" applyFill="1" applyBorder="1" applyAlignment="1" applyProtection="1">
      <alignment horizontal="left" vertical="center" wrapText="1" indent="5"/>
    </xf>
    <xf numFmtId="49" fontId="5" fillId="0" borderId="14" xfId="0" applyNumberFormat="1" applyFont="1" applyFill="1" applyBorder="1" applyAlignment="1" applyProtection="1">
      <alignment horizontal="center" vertical="center"/>
    </xf>
    <xf numFmtId="1" fontId="3" fillId="0" borderId="0" xfId="1" applyNumberFormat="1" applyFont="1" applyFill="1" applyBorder="1" applyAlignment="1" applyProtection="1">
      <alignment horizontal="center"/>
    </xf>
    <xf numFmtId="1" fontId="3" fillId="0" borderId="14" xfId="1" applyNumberFormat="1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indent="3"/>
    </xf>
    <xf numFmtId="164" fontId="8" fillId="0" borderId="8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Alignment="1" applyProtection="1">
      <alignment horizontal="center"/>
    </xf>
    <xf numFmtId="164" fontId="8" fillId="0" borderId="12" xfId="0" applyNumberFormat="1" applyFont="1" applyFill="1" applyBorder="1" applyAlignment="1" applyProtection="1">
      <alignment horizontal="center"/>
    </xf>
    <xf numFmtId="164" fontId="8" fillId="0" borderId="14" xfId="0" applyNumberFormat="1" applyFont="1" applyFill="1" applyBorder="1" applyAlignment="1" applyProtection="1">
      <alignment horizontal="center"/>
    </xf>
    <xf numFmtId="0" fontId="8" fillId="0" borderId="27" xfId="0" applyFont="1" applyFill="1" applyBorder="1" applyAlignment="1" applyProtection="1">
      <alignment horizontal="left" indent="3"/>
    </xf>
    <xf numFmtId="164" fontId="8" fillId="0" borderId="27" xfId="0" quotePrefix="1" applyNumberFormat="1" applyFont="1" applyFill="1" applyBorder="1" applyAlignment="1" applyProtection="1">
      <alignment horizontal="center"/>
    </xf>
    <xf numFmtId="164" fontId="8" fillId="0" borderId="28" xfId="0" applyNumberFormat="1" applyFont="1" applyFill="1" applyBorder="1" applyAlignment="1" applyProtection="1">
      <alignment horizontal="center"/>
    </xf>
    <xf numFmtId="164" fontId="8" fillId="0" borderId="29" xfId="0" applyNumberFormat="1" applyFont="1" applyFill="1" applyBorder="1" applyAlignment="1" applyProtection="1">
      <alignment horizontal="center"/>
    </xf>
    <xf numFmtId="164" fontId="8" fillId="0" borderId="30" xfId="0" applyNumberFormat="1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center" indent="2"/>
    </xf>
    <xf numFmtId="1" fontId="3" fillId="0" borderId="33" xfId="1" applyNumberFormat="1" applyFont="1" applyFill="1" applyBorder="1" applyAlignment="1" applyProtection="1">
      <alignment horizontal="center" vertical="center"/>
    </xf>
    <xf numFmtId="1" fontId="3" fillId="0" borderId="31" xfId="1" applyNumberFormat="1" applyFont="1" applyFill="1" applyBorder="1" applyAlignment="1" applyProtection="1">
      <alignment horizontal="center" vertical="center"/>
    </xf>
    <xf numFmtId="1" fontId="3" fillId="0" borderId="32" xfId="1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left" indent="1"/>
    </xf>
    <xf numFmtId="164" fontId="8" fillId="0" borderId="28" xfId="0" quotePrefix="1" applyNumberFormat="1" applyFont="1" applyFill="1" applyBorder="1" applyAlignment="1" applyProtection="1">
      <alignment horizontal="center"/>
    </xf>
    <xf numFmtId="164" fontId="8" fillId="0" borderId="29" xfId="0" quotePrefix="1" applyNumberFormat="1" applyFont="1" applyFill="1" applyBorder="1" applyAlignment="1" applyProtection="1">
      <alignment horizontal="center"/>
    </xf>
    <xf numFmtId="164" fontId="8" fillId="0" borderId="52" xfId="0" quotePrefix="1" applyNumberFormat="1" applyFont="1" applyFill="1" applyBorder="1" applyAlignment="1" applyProtection="1">
      <alignment horizontal="center"/>
    </xf>
    <xf numFmtId="164" fontId="8" fillId="0" borderId="30" xfId="0" quotePrefix="1" applyNumberFormat="1" applyFont="1" applyFill="1" applyBorder="1" applyAlignment="1" applyProtection="1">
      <alignment horizontal="center"/>
    </xf>
    <xf numFmtId="0" fontId="8" fillId="0" borderId="27" xfId="0" applyFont="1" applyFill="1" applyBorder="1" applyAlignment="1" applyProtection="1">
      <alignment horizontal="left" vertical="center" wrapText="1" indent="1"/>
    </xf>
    <xf numFmtId="0" fontId="5" fillId="0" borderId="28" xfId="0" applyFont="1" applyFill="1" applyBorder="1" applyAlignment="1" applyProtection="1">
      <alignment horizontal="center" vertical="center"/>
    </xf>
    <xf numFmtId="164" fontId="8" fillId="0" borderId="27" xfId="0" quotePrefix="1" applyNumberFormat="1" applyFont="1" applyFill="1" applyBorder="1" applyAlignment="1" applyProtection="1">
      <alignment horizontal="center" vertical="center" wrapText="1"/>
    </xf>
    <xf numFmtId="164" fontId="8" fillId="0" borderId="28" xfId="0" applyNumberFormat="1" applyFont="1" applyFill="1" applyBorder="1" applyAlignment="1" applyProtection="1">
      <alignment horizontal="center" vertical="center"/>
    </xf>
    <xf numFmtId="164" fontId="8" fillId="0" borderId="29" xfId="0" applyNumberFormat="1" applyFont="1" applyFill="1" applyBorder="1" applyAlignment="1" applyProtection="1">
      <alignment horizontal="center" vertical="center"/>
    </xf>
    <xf numFmtId="164" fontId="8" fillId="0" borderId="30" xfId="0" applyNumberFormat="1" applyFont="1" applyFill="1" applyBorder="1" applyAlignment="1" applyProtection="1">
      <alignment horizontal="center" vertical="center"/>
    </xf>
    <xf numFmtId="49" fontId="24" fillId="0" borderId="8" xfId="0" applyNumberFormat="1" applyFont="1" applyFill="1" applyBorder="1" applyAlignment="1" applyProtection="1">
      <alignment horizontal="left" vertical="center" wrapText="1" indent="5"/>
    </xf>
    <xf numFmtId="49" fontId="8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0" xfId="0" applyNumberFormat="1" applyFont="1" applyFill="1" applyAlignment="1" applyProtection="1">
      <alignment horizontal="center" vertical="center"/>
    </xf>
    <xf numFmtId="164" fontId="8" fillId="0" borderId="12" xfId="0" applyNumberFormat="1" applyFont="1" applyFill="1" applyBorder="1" applyAlignment="1" applyProtection="1">
      <alignment horizontal="center" vertical="center"/>
    </xf>
    <xf numFmtId="164" fontId="8" fillId="0" borderId="14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left" vertical="center" wrapText="1" indent="1"/>
    </xf>
    <xf numFmtId="49" fontId="5" fillId="0" borderId="3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 indent="3"/>
    </xf>
    <xf numFmtId="164" fontId="8" fillId="0" borderId="8" xfId="1" quotePrefix="1" applyNumberFormat="1" applyFont="1" applyFill="1" applyBorder="1" applyAlignment="1" applyProtection="1">
      <alignment horizontal="center" vertical="center"/>
    </xf>
    <xf numFmtId="164" fontId="8" fillId="0" borderId="0" xfId="1" quotePrefix="1" applyNumberFormat="1" applyFont="1" applyFill="1" applyBorder="1" applyAlignment="1" applyProtection="1">
      <alignment horizontal="center" vertical="center"/>
    </xf>
    <xf numFmtId="164" fontId="8" fillId="0" borderId="12" xfId="1" quotePrefix="1" applyNumberFormat="1" applyFont="1" applyFill="1" applyBorder="1" applyAlignment="1" applyProtection="1">
      <alignment horizontal="center" vertical="center"/>
    </xf>
    <xf numFmtId="164" fontId="8" fillId="0" borderId="8" xfId="0" quotePrefix="1" applyNumberFormat="1" applyFont="1" applyFill="1" applyBorder="1" applyAlignment="1" applyProtection="1">
      <alignment horizontal="center" vertical="center"/>
    </xf>
    <xf numFmtId="164" fontId="8" fillId="0" borderId="0" xfId="0" quotePrefix="1" applyNumberFormat="1" applyFont="1" applyFill="1" applyAlignment="1" applyProtection="1">
      <alignment horizontal="center" vertical="center"/>
    </xf>
    <xf numFmtId="164" fontId="8" fillId="0" borderId="12" xfId="0" quotePrefix="1" applyNumberFormat="1" applyFont="1" applyFill="1" applyBorder="1" applyAlignment="1" applyProtection="1">
      <alignment horizontal="center" vertical="center"/>
    </xf>
    <xf numFmtId="164" fontId="8" fillId="0" borderId="13" xfId="0" quotePrefix="1" applyNumberFormat="1" applyFont="1" applyFill="1" applyBorder="1" applyAlignment="1" applyProtection="1">
      <alignment horizontal="center" vertical="center"/>
    </xf>
    <xf numFmtId="164" fontId="8" fillId="0" borderId="14" xfId="0" quotePrefix="1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0" xfId="1" applyNumberFormat="1" applyFont="1" applyFill="1" applyBorder="1" applyAlignment="1" applyProtection="1">
      <alignment horizontal="center" vertical="center"/>
    </xf>
    <xf numFmtId="164" fontId="8" fillId="0" borderId="13" xfId="1" quotePrefix="1" applyNumberFormat="1" applyFont="1" applyFill="1" applyBorder="1" applyAlignment="1" applyProtection="1">
      <alignment horizontal="center" vertical="center"/>
    </xf>
    <xf numFmtId="164" fontId="8" fillId="0" borderId="14" xfId="1" quotePrefix="1" applyNumberFormat="1" applyFont="1" applyFill="1" applyBorder="1" applyAlignment="1" applyProtection="1">
      <alignment horizontal="center" vertical="center"/>
    </xf>
    <xf numFmtId="164" fontId="8" fillId="0" borderId="8" xfId="1" quotePrefix="1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64" fontId="8" fillId="0" borderId="12" xfId="1" applyNumberFormat="1" applyFont="1" applyFill="1" applyBorder="1" applyAlignment="1" applyProtection="1">
      <alignment horizontal="center"/>
    </xf>
    <xf numFmtId="164" fontId="8" fillId="0" borderId="13" xfId="1" applyNumberFormat="1" applyFont="1" applyFill="1" applyBorder="1" applyAlignment="1" applyProtection="1">
      <alignment horizontal="center"/>
    </xf>
    <xf numFmtId="164" fontId="8" fillId="0" borderId="14" xfId="1" applyNumberFormat="1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left" indent="1"/>
    </xf>
    <xf numFmtId="49" fontId="5" fillId="0" borderId="0" xfId="0" applyNumberFormat="1" applyFont="1" applyFill="1" applyAlignment="1" applyProtection="1">
      <alignment horizontal="center" vertical="top" wrapText="1"/>
    </xf>
    <xf numFmtId="164" fontId="8" fillId="0" borderId="6" xfId="1" quotePrefix="1" applyNumberFormat="1" applyFont="1" applyFill="1" applyBorder="1" applyAlignment="1" applyProtection="1">
      <alignment horizontal="center"/>
    </xf>
    <xf numFmtId="164" fontId="8" fillId="0" borderId="1" xfId="1" quotePrefix="1" applyNumberFormat="1" applyFont="1" applyFill="1" applyBorder="1" applyAlignment="1" applyProtection="1">
      <alignment horizontal="center"/>
    </xf>
    <xf numFmtId="164" fontId="8" fillId="0" borderId="41" xfId="1" quotePrefix="1" applyNumberFormat="1" applyFont="1" applyFill="1" applyBorder="1" applyAlignment="1" applyProtection="1">
      <alignment horizontal="center"/>
    </xf>
    <xf numFmtId="164" fontId="8" fillId="0" borderId="42" xfId="1" quotePrefix="1" applyNumberFormat="1" applyFont="1" applyFill="1" applyBorder="1" applyAlignment="1" applyProtection="1">
      <alignment horizontal="center"/>
    </xf>
    <xf numFmtId="164" fontId="8" fillId="0" borderId="7" xfId="1" quotePrefix="1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left" vertical="center" wrapText="1" inden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center" vertical="center"/>
    </xf>
    <xf numFmtId="164" fontId="4" fillId="0" borderId="10" xfId="0" applyNumberFormat="1" applyFont="1" applyFill="1" applyBorder="1" applyAlignment="1" applyProtection="1">
      <alignment horizontal="center" vertical="center"/>
    </xf>
    <xf numFmtId="164" fontId="4" fillId="0" borderId="43" xfId="0" applyNumberFormat="1" applyFont="1" applyFill="1" applyBorder="1" applyAlignment="1" applyProtection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 wrapText="1" indent="1"/>
    </xf>
    <xf numFmtId="49" fontId="3" fillId="0" borderId="0" xfId="0" applyNumberFormat="1" applyFon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left" vertical="center" wrapText="1" indent="1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164" fontId="4" fillId="0" borderId="15" xfId="0" applyNumberFormat="1" applyFont="1" applyFill="1" applyBorder="1" applyAlignment="1" applyProtection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 vertical="center"/>
    </xf>
    <xf numFmtId="164" fontId="4" fillId="0" borderId="17" xfId="0" applyNumberFormat="1" applyFont="1" applyFill="1" applyBorder="1" applyAlignment="1" applyProtection="1">
      <alignment horizontal="center" vertical="center"/>
    </xf>
    <xf numFmtId="164" fontId="4" fillId="0" borderId="18" xfId="0" applyNumberFormat="1" applyFont="1" applyFill="1" applyBorder="1" applyAlignment="1" applyProtection="1">
      <alignment horizontal="center" vertical="center"/>
    </xf>
    <xf numFmtId="49" fontId="4" fillId="0" borderId="45" xfId="0" applyNumberFormat="1" applyFont="1" applyFill="1" applyBorder="1" applyAlignment="1" applyProtection="1">
      <alignment horizontal="left" vertical="center" wrapText="1" indent="1"/>
    </xf>
    <xf numFmtId="49" fontId="3" fillId="0" borderId="45" xfId="0" applyNumberFormat="1" applyFont="1" applyFill="1" applyBorder="1" applyAlignment="1" applyProtection="1">
      <alignment horizontal="center" vertical="center" wrapText="1"/>
    </xf>
    <xf numFmtId="164" fontId="4" fillId="0" borderId="44" xfId="0" applyNumberFormat="1" applyFont="1" applyFill="1" applyBorder="1" applyAlignment="1" applyProtection="1">
      <alignment horizontal="center" vertical="center"/>
    </xf>
    <xf numFmtId="164" fontId="4" fillId="0" borderId="45" xfId="0" applyNumberFormat="1" applyFont="1" applyFill="1" applyBorder="1" applyAlignment="1" applyProtection="1">
      <alignment horizontal="center" vertical="center"/>
    </xf>
    <xf numFmtId="164" fontId="4" fillId="0" borderId="46" xfId="0" applyNumberFormat="1" applyFont="1" applyFill="1" applyBorder="1" applyAlignment="1" applyProtection="1">
      <alignment horizontal="center" vertical="center"/>
    </xf>
    <xf numFmtId="164" fontId="4" fillId="0" borderId="47" xfId="0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</xf>
    <xf numFmtId="164" fontId="3" fillId="0" borderId="0" xfId="1" quotePrefix="1" applyNumberFormat="1" applyFont="1" applyFill="1" applyBorder="1" applyAlignment="1" applyProtection="1">
      <alignment horizontal="center" vertical="center"/>
    </xf>
    <xf numFmtId="164" fontId="3" fillId="0" borderId="12" xfId="1" quotePrefix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14" xfId="1" quotePrefix="1" applyNumberFormat="1" applyFont="1" applyFill="1" applyBorder="1" applyAlignment="1" applyProtection="1">
      <alignment horizontal="center" vertical="center"/>
    </xf>
    <xf numFmtId="1" fontId="3" fillId="0" borderId="8" xfId="1" quotePrefix="1" applyNumberFormat="1" applyFont="1" applyFill="1" applyBorder="1" applyAlignment="1" applyProtection="1">
      <alignment horizontal="center"/>
    </xf>
    <xf numFmtId="1" fontId="3" fillId="0" borderId="0" xfId="1" quotePrefix="1" applyNumberFormat="1" applyFont="1" applyFill="1" applyBorder="1" applyAlignment="1" applyProtection="1">
      <alignment horizontal="center"/>
    </xf>
    <xf numFmtId="1" fontId="3" fillId="0" borderId="12" xfId="1" quotePrefix="1" applyNumberFormat="1" applyFont="1" applyFill="1" applyBorder="1" applyAlignment="1" applyProtection="1">
      <alignment horizontal="center"/>
    </xf>
    <xf numFmtId="1" fontId="3" fillId="0" borderId="14" xfId="1" quotePrefix="1" applyNumberFormat="1" applyFont="1" applyFill="1" applyBorder="1" applyAlignment="1" applyProtection="1">
      <alignment horizontal="center"/>
    </xf>
    <xf numFmtId="1" fontId="3" fillId="0" borderId="8" xfId="1" quotePrefix="1" applyNumberFormat="1" applyFont="1" applyFill="1" applyBorder="1" applyAlignment="1" applyProtection="1">
      <alignment horizontal="center"/>
      <protection hidden="1"/>
    </xf>
    <xf numFmtId="1" fontId="3" fillId="0" borderId="0" xfId="1" applyNumberFormat="1" applyFont="1" applyFill="1" applyBorder="1" applyAlignment="1" applyProtection="1">
      <alignment horizontal="center"/>
      <protection hidden="1"/>
    </xf>
    <xf numFmtId="1" fontId="3" fillId="0" borderId="12" xfId="1" quotePrefix="1" applyNumberFormat="1" applyFont="1" applyFill="1" applyBorder="1" applyAlignment="1" applyProtection="1">
      <alignment horizontal="center"/>
      <protection hidden="1"/>
    </xf>
    <xf numFmtId="1" fontId="3" fillId="0" borderId="14" xfId="1" quotePrefix="1" applyNumberFormat="1" applyFont="1" applyFill="1" applyBorder="1" applyAlignment="1" applyProtection="1">
      <alignment horizontal="center"/>
      <protection hidden="1"/>
    </xf>
    <xf numFmtId="164" fontId="3" fillId="0" borderId="8" xfId="1" applyNumberFormat="1" applyFont="1" applyFill="1" applyBorder="1" applyAlignment="1" applyProtection="1">
      <alignment horizontal="center"/>
    </xf>
    <xf numFmtId="164" fontId="3" fillId="0" borderId="0" xfId="1" quotePrefix="1" applyNumberFormat="1" applyFont="1" applyFill="1" applyBorder="1" applyAlignment="1" applyProtection="1">
      <alignment horizontal="center"/>
    </xf>
    <xf numFmtId="164" fontId="3" fillId="0" borderId="12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14" xfId="1" applyNumberFormat="1" applyFont="1" applyFill="1" applyBorder="1" applyAlignment="1" applyProtection="1">
      <alignment horizontal="center"/>
    </xf>
    <xf numFmtId="1" fontId="3" fillId="0" borderId="8" xfId="1" applyNumberFormat="1" applyFont="1" applyFill="1" applyBorder="1" applyAlignment="1" applyProtection="1">
      <alignment horizontal="center"/>
    </xf>
    <xf numFmtId="1" fontId="3" fillId="0" borderId="12" xfId="1" applyNumberFormat="1" applyFont="1" applyFill="1" applyBorder="1" applyAlignment="1" applyProtection="1">
      <alignment horizontal="center"/>
    </xf>
    <xf numFmtId="1" fontId="3" fillId="0" borderId="13" xfId="1" applyNumberFormat="1" applyFont="1" applyFill="1" applyBorder="1" applyAlignment="1" applyProtection="1">
      <alignment horizontal="center"/>
    </xf>
    <xf numFmtId="2" fontId="3" fillId="0" borderId="8" xfId="1" quotePrefix="1" applyNumberFormat="1" applyFont="1" applyFill="1" applyBorder="1" applyAlignment="1" applyProtection="1">
      <alignment horizontal="center"/>
    </xf>
    <xf numFmtId="2" fontId="3" fillId="0" borderId="0" xfId="1" applyNumberFormat="1" applyFont="1" applyFill="1" applyBorder="1" applyAlignment="1" applyProtection="1">
      <alignment horizontal="center"/>
    </xf>
    <xf numFmtId="2" fontId="3" fillId="0" borderId="12" xfId="1" applyNumberFormat="1" applyFont="1" applyFill="1" applyBorder="1" applyAlignment="1" applyProtection="1">
      <alignment horizontal="center"/>
    </xf>
    <xf numFmtId="2" fontId="3" fillId="0" borderId="14" xfId="1" applyNumberFormat="1" applyFont="1" applyFill="1" applyBorder="1" applyAlignment="1" applyProtection="1">
      <alignment horizontal="center"/>
    </xf>
    <xf numFmtId="164" fontId="8" fillId="0" borderId="36" xfId="1" quotePrefix="1" applyNumberFormat="1" applyFont="1" applyFill="1" applyBorder="1" applyAlignment="1" applyProtection="1">
      <alignment horizontal="center" vertical="center"/>
    </xf>
    <xf numFmtId="164" fontId="8" fillId="0" borderId="37" xfId="1" applyNumberFormat="1" applyFont="1" applyFill="1" applyBorder="1" applyAlignment="1" applyProtection="1">
      <alignment horizontal="center" vertical="center"/>
    </xf>
    <xf numFmtId="164" fontId="8" fillId="0" borderId="2" xfId="1" quotePrefix="1" applyNumberFormat="1" applyFont="1" applyFill="1" applyBorder="1" applyAlignment="1" applyProtection="1">
      <alignment horizontal="center" vertical="center"/>
    </xf>
    <xf numFmtId="164" fontId="8" fillId="0" borderId="37" xfId="1" quotePrefix="1" applyNumberFormat="1" applyFont="1" applyFill="1" applyBorder="1" applyAlignment="1" applyProtection="1">
      <alignment horizontal="center" vertical="center"/>
    </xf>
    <xf numFmtId="164" fontId="8" fillId="0" borderId="38" xfId="1" quotePrefix="1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left" vertical="center" wrapText="1" indent="4"/>
    </xf>
    <xf numFmtId="0" fontId="12" fillId="0" borderId="1" xfId="0" applyFont="1" applyBorder="1" applyAlignment="1" applyProtection="1">
      <alignment horizontal="left" indent="3"/>
    </xf>
    <xf numFmtId="0" fontId="4" fillId="0" borderId="0" xfId="0" applyFont="1" applyAlignment="1" applyProtection="1">
      <alignment horizontal="left"/>
    </xf>
    <xf numFmtId="0" fontId="8" fillId="0" borderId="4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0" fontId="12" fillId="0" borderId="48" xfId="0" applyFont="1" applyFill="1" applyBorder="1" applyAlignment="1" applyProtection="1">
      <alignment horizontal="center" vertical="center"/>
    </xf>
    <xf numFmtId="0" fontId="13" fillId="0" borderId="10" xfId="0" applyFont="1" applyFill="1" applyBorder="1" applyProtection="1"/>
    <xf numFmtId="0" fontId="13" fillId="0" borderId="10" xfId="0" applyFont="1" applyFill="1" applyBorder="1" applyAlignment="1" applyProtection="1">
      <alignment horizontal="center"/>
    </xf>
    <xf numFmtId="0" fontId="13" fillId="0" borderId="10" xfId="0" quotePrefix="1" applyFont="1" applyFill="1" applyBorder="1" applyAlignment="1" applyProtection="1">
      <alignment horizontal="center"/>
    </xf>
    <xf numFmtId="1" fontId="44" fillId="0" borderId="10" xfId="0" applyNumberFormat="1" applyFont="1" applyBorder="1" applyAlignment="1" applyProtection="1">
      <alignment horizontal="center"/>
    </xf>
    <xf numFmtId="49" fontId="15" fillId="0" borderId="15" xfId="0" applyNumberFormat="1" applyFont="1" applyFill="1" applyBorder="1" applyAlignment="1" applyProtection="1">
      <alignment horizontal="right" vertical="top" wrapText="1" indent="2"/>
    </xf>
    <xf numFmtId="49" fontId="14" fillId="0" borderId="15" xfId="0" applyNumberFormat="1" applyFont="1" applyFill="1" applyBorder="1" applyAlignment="1" applyProtection="1">
      <alignment horizontal="left" vertical="center" wrapText="1" indent="42"/>
    </xf>
    <xf numFmtId="49" fontId="17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18" xfId="0" applyFont="1" applyFill="1" applyBorder="1" applyProtection="1"/>
    <xf numFmtId="2" fontId="28" fillId="0" borderId="39" xfId="0" applyNumberFormat="1" applyFont="1" applyFill="1" applyBorder="1" applyAlignment="1">
      <alignment horizontal="right" indent="2"/>
    </xf>
    <xf numFmtId="0" fontId="28" fillId="0" borderId="39" xfId="0" applyFont="1" applyFill="1" applyBorder="1" applyAlignment="1">
      <alignment horizontal="left" vertical="center" indent="1"/>
    </xf>
    <xf numFmtId="2" fontId="28" fillId="0" borderId="39" xfId="0" applyNumberFormat="1" applyFont="1" applyFill="1" applyBorder="1" applyAlignment="1">
      <alignment horizontal="right" vertical="center" indent="2"/>
    </xf>
    <xf numFmtId="0" fontId="4" fillId="0" borderId="39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 applyProtection="1">
      <alignment horizontal="left" vertical="center" wrapText="1" indent="1"/>
    </xf>
    <xf numFmtId="164" fontId="3" fillId="0" borderId="15" xfId="0" applyNumberFormat="1" applyFont="1" applyFill="1" applyBorder="1" applyAlignment="1" applyProtection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/>
    </xf>
    <xf numFmtId="164" fontId="3" fillId="0" borderId="17" xfId="0" applyNumberFormat="1" applyFont="1" applyFill="1" applyBorder="1" applyAlignment="1" applyProtection="1">
      <alignment horizontal="center" vertical="center"/>
    </xf>
    <xf numFmtId="164" fontId="3" fillId="0" borderId="54" xfId="0" applyNumberFormat="1" applyFont="1" applyFill="1" applyBorder="1" applyAlignment="1" applyProtection="1">
      <alignment horizontal="center" vertical="center"/>
    </xf>
    <xf numFmtId="49" fontId="43" fillId="0" borderId="50" xfId="0" quotePrefix="1" applyNumberFormat="1" applyFont="1" applyBorder="1" applyAlignment="1" applyProtection="1">
      <alignment horizontal="center" vertical="center" wrapText="1"/>
    </xf>
    <xf numFmtId="49" fontId="3" fillId="0" borderId="53" xfId="0" quotePrefix="1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 indent="1"/>
    </xf>
    <xf numFmtId="49" fontId="3" fillId="0" borderId="55" xfId="0" quotePrefix="1" applyNumberFormat="1" applyFont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indent="2"/>
    </xf>
    <xf numFmtId="1" fontId="3" fillId="0" borderId="8" xfId="1" applyNumberFormat="1" applyFont="1" applyFill="1" applyBorder="1" applyAlignment="1" applyProtection="1">
      <alignment horizontal="center" vertical="center"/>
    </xf>
    <xf numFmtId="1" fontId="3" fillId="0" borderId="0" xfId="1" applyNumberFormat="1" applyFont="1" applyFill="1" applyBorder="1" applyAlignment="1" applyProtection="1">
      <alignment horizontal="center" vertical="center"/>
    </xf>
    <xf numFmtId="1" fontId="3" fillId="0" borderId="12" xfId="1" applyNumberFormat="1" applyFont="1" applyFill="1" applyBorder="1" applyAlignment="1" applyProtection="1">
      <alignment horizontal="center" vertical="center"/>
    </xf>
    <xf numFmtId="1" fontId="3" fillId="0" borderId="13" xfId="1" applyNumberFormat="1" applyFont="1" applyFill="1" applyBorder="1" applyAlignment="1" applyProtection="1">
      <alignment horizontal="center" vertical="center"/>
    </xf>
    <xf numFmtId="1" fontId="3" fillId="0" borderId="14" xfId="1" applyNumberFormat="1" applyFont="1" applyFill="1" applyBorder="1" applyAlignment="1" applyProtection="1">
      <alignment horizontal="center" vertical="center"/>
    </xf>
    <xf numFmtId="0" fontId="28" fillId="0" borderId="0" xfId="0" quotePrefix="1" applyFont="1"/>
    <xf numFmtId="0" fontId="49" fillId="0" borderId="0" xfId="0" applyFont="1"/>
    <xf numFmtId="49" fontId="43" fillId="0" borderId="55" xfId="0" quotePrefix="1" applyNumberFormat="1" applyFont="1" applyBorder="1" applyAlignment="1" applyProtection="1">
      <alignment horizontal="center" vertical="center" wrapText="1"/>
    </xf>
    <xf numFmtId="164" fontId="4" fillId="0" borderId="9" xfId="0" quotePrefix="1" applyNumberFormat="1" applyFont="1" applyFill="1" applyBorder="1" applyAlignment="1" applyProtection="1">
      <alignment horizontal="center" vertical="center"/>
    </xf>
    <xf numFmtId="164" fontId="4" fillId="0" borderId="48" xfId="0" applyNumberFormat="1" applyFont="1" applyFill="1" applyBorder="1" applyAlignment="1" applyProtection="1">
      <alignment horizontal="center" vertical="center"/>
    </xf>
    <xf numFmtId="164" fontId="3" fillId="0" borderId="18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2" fontId="47" fillId="0" borderId="0" xfId="1" applyNumberFormat="1" applyFont="1" applyFill="1" applyBorder="1" applyAlignment="1" applyProtection="1">
      <alignment horizontal="center"/>
    </xf>
    <xf numFmtId="2" fontId="47" fillId="0" borderId="12" xfId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 vertical="center" wrapText="1" indent="4"/>
    </xf>
    <xf numFmtId="0" fontId="8" fillId="0" borderId="0" xfId="0" applyFont="1" applyFill="1" applyBorder="1" applyAlignment="1" applyProtection="1">
      <alignment horizontal="left" indent="1"/>
    </xf>
    <xf numFmtId="0" fontId="8" fillId="0" borderId="28" xfId="0" applyFont="1" applyFill="1" applyBorder="1" applyAlignment="1" applyProtection="1">
      <alignment horizontal="left" vertical="center" wrapText="1" indent="1"/>
    </xf>
    <xf numFmtId="0" fontId="8" fillId="0" borderId="0" xfId="0" applyFont="1" applyAlignment="1">
      <alignment horizontal="center"/>
    </xf>
    <xf numFmtId="0" fontId="52" fillId="0" borderId="0" xfId="0" applyFont="1" applyAlignment="1" applyProtection="1">
      <alignment horizontal="center"/>
    </xf>
    <xf numFmtId="0" fontId="45" fillId="0" borderId="0" xfId="0" applyFont="1" applyProtection="1"/>
    <xf numFmtId="0" fontId="45" fillId="0" borderId="0" xfId="0" applyFont="1"/>
    <xf numFmtId="0" fontId="8" fillId="0" borderId="16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/>
    </xf>
    <xf numFmtId="0" fontId="8" fillId="0" borderId="18" xfId="0" applyFont="1" applyFill="1" applyBorder="1" applyProtection="1"/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56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/>
    </xf>
    <xf numFmtId="0" fontId="8" fillId="0" borderId="0" xfId="0" quotePrefix="1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1" fillId="0" borderId="0" xfId="0" applyFont="1"/>
    <xf numFmtId="164" fontId="3" fillId="5" borderId="16" xfId="0" applyNumberFormat="1" applyFont="1" applyFill="1" applyBorder="1" applyAlignment="1" applyProtection="1">
      <alignment horizontal="center" vertical="center"/>
    </xf>
    <xf numFmtId="164" fontId="3" fillId="5" borderId="17" xfId="0" applyNumberFormat="1" applyFont="1" applyFill="1" applyBorder="1" applyAlignment="1" applyProtection="1">
      <alignment horizontal="center" vertical="center"/>
    </xf>
    <xf numFmtId="164" fontId="3" fillId="5" borderId="18" xfId="0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8" fillId="0" borderId="61" xfId="0" applyFont="1" applyBorder="1" applyAlignment="1" applyProtection="1">
      <alignment horizontal="center" vertical="center"/>
    </xf>
    <xf numFmtId="49" fontId="3" fillId="0" borderId="31" xfId="0" quotePrefix="1" applyNumberFormat="1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 applyProtection="1">
      <alignment horizontal="left" vertical="center" wrapText="1" indent="1"/>
    </xf>
    <xf numFmtId="164" fontId="8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164" fontId="50" fillId="0" borderId="37" xfId="1" applyNumberFormat="1" applyFont="1" applyFill="1" applyBorder="1" applyAlignment="1" applyProtection="1">
      <alignment horizontal="center" vertical="center"/>
    </xf>
    <xf numFmtId="164" fontId="50" fillId="0" borderId="2" xfId="1" quotePrefix="1" applyNumberFormat="1" applyFont="1" applyFill="1" applyBorder="1" applyAlignment="1" applyProtection="1">
      <alignment horizontal="center" vertical="center"/>
    </xf>
    <xf numFmtId="164" fontId="50" fillId="0" borderId="38" xfId="1" quotePrefix="1" applyNumberFormat="1" applyFont="1" applyFill="1" applyBorder="1" applyAlignment="1" applyProtection="1">
      <alignment horizontal="center" vertical="center"/>
    </xf>
    <xf numFmtId="2" fontId="47" fillId="0" borderId="13" xfId="1" quotePrefix="1" applyNumberFormat="1" applyFont="1" applyFill="1" applyBorder="1" applyAlignment="1" applyProtection="1">
      <alignment horizontal="center"/>
    </xf>
    <xf numFmtId="164" fontId="50" fillId="0" borderId="51" xfId="1" quotePrefix="1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left" vertical="center" wrapText="1" indent="1"/>
    </xf>
    <xf numFmtId="49" fontId="8" fillId="0" borderId="51" xfId="0" applyNumberFormat="1" applyFont="1" applyFill="1" applyBorder="1" applyAlignment="1" applyProtection="1">
      <alignment horizontal="left" vertical="center" wrapText="1" indent="1"/>
    </xf>
    <xf numFmtId="49" fontId="3" fillId="0" borderId="76" xfId="0" applyNumberFormat="1" applyFont="1" applyFill="1" applyBorder="1" applyAlignment="1" applyProtection="1">
      <alignment horizontal="left" vertical="center" wrapText="1" indent="1"/>
    </xf>
    <xf numFmtId="49" fontId="3" fillId="5" borderId="17" xfId="0" applyNumberFormat="1" applyFont="1" applyFill="1" applyBorder="1" applyAlignment="1" applyProtection="1">
      <alignment horizontal="left" vertical="center" wrapText="1" indent="1"/>
    </xf>
    <xf numFmtId="49" fontId="3" fillId="0" borderId="17" xfId="0" applyNumberFormat="1" applyFont="1" applyFill="1" applyBorder="1" applyAlignment="1" applyProtection="1">
      <alignment horizontal="left" vertical="center" wrapText="1" indent="1"/>
    </xf>
    <xf numFmtId="0" fontId="45" fillId="0" borderId="0" xfId="0" applyFont="1" applyAlignment="1">
      <alignment vertical="center"/>
    </xf>
    <xf numFmtId="0" fontId="15" fillId="0" borderId="79" xfId="0" applyFont="1" applyFill="1" applyBorder="1" applyAlignment="1" applyProtection="1">
      <alignment horizontal="left" indent="1"/>
    </xf>
    <xf numFmtId="0" fontId="45" fillId="0" borderId="33" xfId="0" applyFont="1" applyBorder="1" applyAlignment="1">
      <alignment horizontal="left" vertical="center" indent="2"/>
    </xf>
    <xf numFmtId="49" fontId="8" fillId="0" borderId="0" xfId="0" quotePrefix="1" applyNumberFormat="1" applyFont="1" applyBorder="1" applyAlignment="1" applyProtection="1">
      <alignment horizontal="center" vertical="center" textRotation="90"/>
    </xf>
    <xf numFmtId="0" fontId="15" fillId="0" borderId="0" xfId="0" applyFont="1" applyFill="1" applyBorder="1" applyAlignment="1" applyProtection="1">
      <alignment horizontal="left" indent="1"/>
    </xf>
    <xf numFmtId="164" fontId="8" fillId="0" borderId="0" xfId="1" quotePrefix="1" applyNumberFormat="1" applyFont="1" applyFill="1" applyBorder="1" applyAlignment="1" applyProtection="1">
      <alignment horizontal="center"/>
    </xf>
    <xf numFmtId="49" fontId="3" fillId="5" borderId="15" xfId="0" quotePrefix="1" applyNumberFormat="1" applyFont="1" applyFill="1" applyBorder="1" applyAlignment="1" applyProtection="1">
      <alignment horizontal="left" vertical="center" wrapText="1" indent="1"/>
    </xf>
    <xf numFmtId="49" fontId="3" fillId="0" borderId="15" xfId="0" quotePrefix="1" applyNumberFormat="1" applyFont="1" applyFill="1" applyBorder="1" applyAlignment="1" applyProtection="1">
      <alignment horizontal="left" vertical="center" wrapText="1" indent="1"/>
    </xf>
    <xf numFmtId="164" fontId="3" fillId="0" borderId="17" xfId="0" quotePrefix="1" applyNumberFormat="1" applyFont="1" applyFill="1" applyBorder="1" applyAlignment="1" applyProtection="1">
      <alignment horizontal="center" vertical="center"/>
    </xf>
    <xf numFmtId="0" fontId="8" fillId="0" borderId="64" xfId="0" applyFont="1" applyFill="1" applyBorder="1" applyAlignment="1" applyProtection="1">
      <alignment horizontal="left" vertical="center" wrapText="1" indent="1"/>
    </xf>
    <xf numFmtId="0" fontId="14" fillId="0" borderId="81" xfId="0" applyFont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 indent="2"/>
    </xf>
    <xf numFmtId="0" fontId="8" fillId="0" borderId="52" xfId="0" applyFont="1" applyFill="1" applyBorder="1" applyAlignment="1" applyProtection="1">
      <alignment horizontal="left" indent="2"/>
    </xf>
    <xf numFmtId="0" fontId="14" fillId="0" borderId="10" xfId="0" quotePrefix="1" applyFont="1" applyBorder="1" applyAlignment="1" applyProtection="1">
      <alignment horizontal="center"/>
    </xf>
    <xf numFmtId="0" fontId="14" fillId="0" borderId="10" xfId="0" quotePrefix="1" applyFont="1" applyBorder="1" applyAlignment="1" applyProtection="1"/>
    <xf numFmtId="0" fontId="14" fillId="0" borderId="11" xfId="0" quotePrefix="1" applyFont="1" applyBorder="1" applyAlignment="1" applyProtection="1"/>
    <xf numFmtId="0" fontId="45" fillId="0" borderId="51" xfId="0" applyFont="1" applyBorder="1" applyProtection="1"/>
    <xf numFmtId="0" fontId="45" fillId="0" borderId="0" xfId="0" applyFont="1" applyBorder="1" applyAlignment="1">
      <alignment horizontal="left" vertical="center" indent="2"/>
    </xf>
    <xf numFmtId="49" fontId="3" fillId="0" borderId="0" xfId="0" applyNumberFormat="1" applyFont="1" applyFill="1" applyBorder="1" applyAlignment="1" applyProtection="1">
      <alignment horizontal="left" vertical="top" wrapText="1" indent="2"/>
    </xf>
    <xf numFmtId="49" fontId="3" fillId="0" borderId="0" xfId="0" applyNumberFormat="1" applyFont="1" applyFill="1" applyBorder="1" applyAlignment="1" applyProtection="1">
      <alignment horizontal="left" vertical="center" wrapText="1" indent="2"/>
    </xf>
    <xf numFmtId="49" fontId="3" fillId="0" borderId="13" xfId="0" applyNumberFormat="1" applyFont="1" applyFill="1" applyBorder="1" applyAlignment="1" applyProtection="1">
      <alignment horizontal="left" vertical="center" wrapText="1" indent="3"/>
    </xf>
    <xf numFmtId="0" fontId="45" fillId="0" borderId="33" xfId="0" applyFont="1" applyFill="1" applyBorder="1" applyAlignment="1">
      <alignment horizontal="left" vertical="center" indent="3"/>
    </xf>
    <xf numFmtId="0" fontId="3" fillId="0" borderId="13" xfId="0" applyFont="1" applyFill="1" applyBorder="1" applyAlignment="1" applyProtection="1">
      <alignment horizontal="left" indent="3"/>
    </xf>
    <xf numFmtId="0" fontId="46" fillId="0" borderId="13" xfId="0" applyFont="1" applyFill="1" applyBorder="1" applyAlignment="1">
      <alignment horizontal="left" vertical="center" indent="3"/>
    </xf>
    <xf numFmtId="0" fontId="3" fillId="0" borderId="0" xfId="0" applyFont="1" applyFill="1" applyBorder="1" applyAlignment="1" applyProtection="1">
      <alignment horizontal="left" vertical="center" indent="2"/>
    </xf>
    <xf numFmtId="164" fontId="3" fillId="0" borderId="16" xfId="0" quotePrefix="1" applyNumberFormat="1" applyFont="1" applyFill="1" applyBorder="1" applyAlignment="1" applyProtection="1">
      <alignment horizontal="center" vertical="center"/>
    </xf>
    <xf numFmtId="164" fontId="3" fillId="0" borderId="54" xfId="0" quotePrefix="1" applyNumberFormat="1" applyFont="1" applyFill="1" applyBorder="1" applyAlignment="1" applyProtection="1">
      <alignment horizontal="center" vertical="center"/>
    </xf>
    <xf numFmtId="164" fontId="3" fillId="0" borderId="18" xfId="0" quotePrefix="1" applyNumberFormat="1" applyFont="1" applyFill="1" applyBorder="1" applyAlignment="1" applyProtection="1">
      <alignment horizontal="center" vertical="center"/>
    </xf>
    <xf numFmtId="0" fontId="45" fillId="0" borderId="13" xfId="0" applyFont="1" applyFill="1" applyBorder="1" applyAlignment="1">
      <alignment horizontal="left" vertical="center" indent="2"/>
    </xf>
    <xf numFmtId="49" fontId="16" fillId="0" borderId="33" xfId="0" applyNumberFormat="1" applyFont="1" applyFill="1" applyBorder="1" applyAlignment="1" applyProtection="1">
      <alignment horizontal="left" vertical="center" wrapText="1" indent="2"/>
    </xf>
    <xf numFmtId="49" fontId="8" fillId="0" borderId="72" xfId="0" applyNumberFormat="1" applyFont="1" applyFill="1" applyBorder="1" applyAlignment="1" applyProtection="1">
      <alignment horizontal="left" vertical="center" wrapText="1" indent="1"/>
    </xf>
    <xf numFmtId="49" fontId="8" fillId="0" borderId="64" xfId="0" applyNumberFormat="1" applyFont="1" applyFill="1" applyBorder="1" applyAlignment="1" applyProtection="1">
      <alignment horizontal="left" vertical="center" wrapText="1" indent="1"/>
    </xf>
    <xf numFmtId="164" fontId="3" fillId="0" borderId="11" xfId="0" quotePrefix="1" applyNumberFormat="1" applyFont="1" applyFill="1" applyBorder="1" applyAlignment="1" applyProtection="1">
      <alignment horizontal="center" vertical="center"/>
    </xf>
    <xf numFmtId="49" fontId="8" fillId="0" borderId="36" xfId="0" quotePrefix="1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 indent="3"/>
    </xf>
    <xf numFmtId="0" fontId="3" fillId="0" borderId="13" xfId="0" applyFont="1" applyBorder="1" applyAlignment="1">
      <alignment horizontal="left" indent="3"/>
    </xf>
    <xf numFmtId="0" fontId="8" fillId="0" borderId="37" xfId="0" applyFont="1" applyBorder="1" applyAlignment="1" applyProtection="1">
      <alignment horizontal="left" indent="1"/>
    </xf>
    <xf numFmtId="49" fontId="3" fillId="0" borderId="70" xfId="0" applyNumberFormat="1" applyFont="1" applyFill="1" applyBorder="1" applyAlignment="1" applyProtection="1">
      <alignment horizontal="center" vertical="center" wrapText="1"/>
    </xf>
    <xf numFmtId="49" fontId="3" fillId="0" borderId="77" xfId="0" applyNumberFormat="1" applyFont="1" applyFill="1" applyBorder="1" applyAlignment="1" applyProtection="1">
      <alignment horizontal="center" vertical="center" wrapText="1"/>
    </xf>
    <xf numFmtId="0" fontId="3" fillId="0" borderId="84" xfId="0" quotePrefix="1" applyFont="1" applyFill="1" applyBorder="1" applyAlignment="1" applyProtection="1">
      <alignment horizontal="center" vertical="center"/>
    </xf>
    <xf numFmtId="49" fontId="3" fillId="0" borderId="73" xfId="0" applyNumberFormat="1" applyFont="1" applyFill="1" applyBorder="1" applyAlignment="1" applyProtection="1">
      <alignment horizontal="center" vertical="center" wrapText="1"/>
    </xf>
    <xf numFmtId="49" fontId="3" fillId="0" borderId="84" xfId="0" applyNumberFormat="1" applyFont="1" applyFill="1" applyBorder="1" applyAlignment="1" applyProtection="1">
      <alignment horizontal="center" vertical="center" wrapText="1"/>
    </xf>
    <xf numFmtId="49" fontId="3" fillId="0" borderId="80" xfId="0" applyNumberFormat="1" applyFont="1" applyFill="1" applyBorder="1" applyAlignment="1" applyProtection="1">
      <alignment horizontal="center" vertical="center" wrapText="1"/>
    </xf>
    <xf numFmtId="49" fontId="3" fillId="5" borderId="89" xfId="0" applyNumberFormat="1" applyFont="1" applyFill="1" applyBorder="1" applyAlignment="1" applyProtection="1">
      <alignment horizontal="center" vertical="center" wrapText="1"/>
    </xf>
    <xf numFmtId="0" fontId="3" fillId="0" borderId="91" xfId="0" applyFont="1" applyBorder="1" applyAlignment="1" applyProtection="1">
      <alignment horizontal="center" vertical="center"/>
    </xf>
    <xf numFmtId="2" fontId="47" fillId="0" borderId="32" xfId="1" applyNumberFormat="1" applyFont="1" applyFill="1" applyBorder="1" applyAlignment="1" applyProtection="1">
      <alignment horizontal="center"/>
    </xf>
    <xf numFmtId="164" fontId="3" fillId="0" borderId="46" xfId="0" quotePrefix="1" applyNumberFormat="1" applyFont="1" applyFill="1" applyBorder="1" applyAlignment="1" applyProtection="1">
      <alignment horizontal="center" vertical="center"/>
    </xf>
    <xf numFmtId="164" fontId="3" fillId="0" borderId="45" xfId="0" quotePrefix="1" applyNumberFormat="1" applyFont="1" applyFill="1" applyBorder="1" applyAlignment="1" applyProtection="1">
      <alignment horizontal="center" vertical="center"/>
    </xf>
    <xf numFmtId="164" fontId="3" fillId="0" borderId="88" xfId="0" quotePrefix="1" applyNumberFormat="1" applyFont="1" applyFill="1" applyBorder="1" applyAlignment="1" applyProtection="1">
      <alignment horizontal="center" vertical="center"/>
    </xf>
    <xf numFmtId="164" fontId="3" fillId="0" borderId="47" xfId="0" quotePrefix="1" applyNumberFormat="1" applyFont="1" applyFill="1" applyBorder="1" applyAlignment="1" applyProtection="1">
      <alignment horizontal="center" vertical="center"/>
    </xf>
    <xf numFmtId="49" fontId="3" fillId="0" borderId="89" xfId="0" applyNumberFormat="1" applyFont="1" applyFill="1" applyBorder="1" applyAlignment="1" applyProtection="1">
      <alignment horizontal="center" vertical="center" wrapText="1"/>
    </xf>
    <xf numFmtId="49" fontId="3" fillId="0" borderId="44" xfId="0" quotePrefix="1" applyNumberFormat="1" applyFont="1" applyFill="1" applyBorder="1" applyAlignment="1" applyProtection="1">
      <alignment horizontal="left" vertical="center" wrapText="1" indent="1"/>
    </xf>
    <xf numFmtId="49" fontId="3" fillId="0" borderId="46" xfId="0" applyNumberFormat="1" applyFont="1" applyFill="1" applyBorder="1" applyAlignment="1" applyProtection="1">
      <alignment horizontal="left" vertical="center" wrapText="1" indent="1"/>
    </xf>
    <xf numFmtId="49" fontId="3" fillId="0" borderId="9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13" xfId="0" applyNumberFormat="1" applyFont="1" applyBorder="1" applyAlignment="1">
      <alignment horizontal="left" vertical="top" wrapText="1" indent="2"/>
    </xf>
    <xf numFmtId="164" fontId="45" fillId="0" borderId="13" xfId="0" quotePrefix="1" applyNumberFormat="1" applyFont="1" applyBorder="1" applyAlignment="1">
      <alignment horizontal="center"/>
    </xf>
    <xf numFmtId="164" fontId="45" fillId="0" borderId="0" xfId="0" applyNumberFormat="1" applyFont="1" applyAlignment="1">
      <alignment horizontal="center"/>
    </xf>
    <xf numFmtId="164" fontId="45" fillId="0" borderId="12" xfId="0" applyNumberFormat="1" applyFont="1" applyBorder="1" applyAlignment="1">
      <alignment horizontal="center"/>
    </xf>
    <xf numFmtId="164" fontId="45" fillId="0" borderId="13" xfId="0" applyNumberFormat="1" applyFont="1" applyBorder="1" applyAlignment="1">
      <alignment horizontal="center"/>
    </xf>
    <xf numFmtId="164" fontId="45" fillId="0" borderId="14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left" vertical="top" wrapText="1" indent="2"/>
    </xf>
    <xf numFmtId="49" fontId="8" fillId="0" borderId="52" xfId="0" applyNumberFormat="1" applyFont="1" applyBorder="1" applyAlignment="1">
      <alignment horizontal="left" vertical="center" wrapText="1" indent="1"/>
    </xf>
    <xf numFmtId="49" fontId="1" fillId="0" borderId="28" xfId="0" applyNumberFormat="1" applyFont="1" applyBorder="1" applyAlignment="1">
      <alignment horizontal="center" vertical="center" wrapText="1"/>
    </xf>
    <xf numFmtId="164" fontId="27" fillId="0" borderId="52" xfId="0" quotePrefix="1" applyNumberFormat="1" applyFont="1" applyBorder="1" applyAlignment="1">
      <alignment horizontal="center"/>
    </xf>
    <xf numFmtId="164" fontId="27" fillId="0" borderId="28" xfId="0" applyNumberFormat="1" applyFont="1" applyBorder="1" applyAlignment="1">
      <alignment horizontal="center"/>
    </xf>
    <xf numFmtId="164" fontId="27" fillId="0" borderId="29" xfId="0" applyNumberFormat="1" applyFont="1" applyBorder="1" applyAlignment="1">
      <alignment horizontal="center"/>
    </xf>
    <xf numFmtId="164" fontId="27" fillId="0" borderId="52" xfId="0" applyNumberFormat="1" applyFont="1" applyBorder="1" applyAlignment="1">
      <alignment horizontal="center"/>
    </xf>
    <xf numFmtId="164" fontId="27" fillId="0" borderId="30" xfId="0" applyNumberFormat="1" applyFont="1" applyBorder="1" applyAlignment="1">
      <alignment horizontal="center"/>
    </xf>
    <xf numFmtId="0" fontId="3" fillId="0" borderId="0" xfId="6" applyFont="1" applyAlignment="1">
      <alignment vertical="top"/>
    </xf>
    <xf numFmtId="0" fontId="3" fillId="0" borderId="0" xfId="6" applyFont="1" applyFill="1" applyBorder="1" applyAlignment="1">
      <alignment vertical="top"/>
    </xf>
    <xf numFmtId="0" fontId="16" fillId="0" borderId="0" xfId="6" applyFont="1" applyFill="1" applyBorder="1" applyAlignment="1">
      <alignment vertical="top" wrapText="1"/>
    </xf>
    <xf numFmtId="0" fontId="3" fillId="0" borderId="0" xfId="6" applyFont="1" applyFill="1" applyBorder="1" applyAlignment="1">
      <alignment vertical="top" wrapText="1"/>
    </xf>
    <xf numFmtId="0" fontId="58" fillId="0" borderId="0" xfId="7" applyFont="1" applyFill="1" applyBorder="1" applyAlignment="1">
      <alignment vertical="top" wrapText="1"/>
    </xf>
    <xf numFmtId="49" fontId="3" fillId="0" borderId="0" xfId="6" applyNumberFormat="1" applyFont="1" applyFill="1" applyBorder="1" applyAlignment="1">
      <alignment horizontal="left" vertical="top"/>
    </xf>
    <xf numFmtId="0" fontId="59" fillId="0" borderId="0" xfId="6" applyFont="1" applyFill="1" applyBorder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6" applyFont="1" applyBorder="1" applyAlignment="1">
      <alignment vertical="top"/>
    </xf>
    <xf numFmtId="0" fontId="61" fillId="0" borderId="0" xfId="6" applyFont="1" applyBorder="1" applyAlignment="1">
      <alignment vertical="top"/>
    </xf>
    <xf numFmtId="0" fontId="61" fillId="0" borderId="0" xfId="6" applyFont="1" applyBorder="1" applyAlignment="1">
      <alignment horizontal="left" vertical="top"/>
    </xf>
    <xf numFmtId="0" fontId="19" fillId="0" borderId="0" xfId="6" applyFont="1" applyBorder="1" applyAlignment="1">
      <alignment horizontal="left" vertical="top"/>
    </xf>
    <xf numFmtId="0" fontId="8" fillId="0" borderId="0" xfId="6" applyFont="1" applyFill="1" applyBorder="1" applyAlignment="1">
      <alignment horizontal="left" vertical="top" wrapText="1"/>
    </xf>
    <xf numFmtId="0" fontId="3" fillId="0" borderId="0" xfId="6" applyFont="1" applyFill="1" applyBorder="1" applyAlignment="1">
      <alignment horizontal="left" vertical="top" wrapText="1"/>
    </xf>
    <xf numFmtId="1" fontId="45" fillId="0" borderId="13" xfId="1" quotePrefix="1" applyNumberFormat="1" applyFont="1" applyFill="1" applyBorder="1" applyAlignment="1" applyProtection="1">
      <alignment horizontal="center"/>
    </xf>
    <xf numFmtId="1" fontId="45" fillId="0" borderId="0" xfId="1" quotePrefix="1" applyNumberFormat="1" applyFont="1" applyFill="1" applyBorder="1" applyAlignment="1" applyProtection="1">
      <alignment horizontal="center"/>
    </xf>
    <xf numFmtId="1" fontId="45" fillId="0" borderId="12" xfId="1" quotePrefix="1" applyNumberFormat="1" applyFont="1" applyFill="1" applyBorder="1" applyAlignment="1" applyProtection="1">
      <alignment horizontal="center"/>
    </xf>
    <xf numFmtId="1" fontId="45" fillId="0" borderId="14" xfId="1" quotePrefix="1" applyNumberFormat="1" applyFont="1" applyFill="1" applyBorder="1" applyAlignment="1" applyProtection="1">
      <alignment horizontal="center"/>
    </xf>
    <xf numFmtId="0" fontId="45" fillId="0" borderId="92" xfId="0" applyFont="1" applyFill="1" applyBorder="1" applyAlignment="1" applyProtection="1">
      <alignment horizontal="left" vertical="center" wrapText="1" indent="1"/>
    </xf>
    <xf numFmtId="0" fontId="8" fillId="0" borderId="93" xfId="0" applyFont="1" applyFill="1" applyBorder="1" applyAlignment="1" applyProtection="1">
      <alignment horizontal="left" vertical="center" indent="1"/>
    </xf>
    <xf numFmtId="49" fontId="3" fillId="5" borderId="94" xfId="0" applyNumberFormat="1" applyFont="1" applyFill="1" applyBorder="1" applyAlignment="1" applyProtection="1">
      <alignment horizontal="center" vertical="center" wrapText="1"/>
    </xf>
    <xf numFmtId="49" fontId="3" fillId="7" borderId="9" xfId="0" quotePrefix="1" applyNumberFormat="1" applyFont="1" applyFill="1" applyBorder="1" applyAlignment="1" applyProtection="1">
      <alignment horizontal="left" vertical="center" wrapText="1" indent="1"/>
    </xf>
    <xf numFmtId="49" fontId="3" fillId="7" borderId="48" xfId="0" applyNumberFormat="1" applyFont="1" applyFill="1" applyBorder="1" applyAlignment="1" applyProtection="1">
      <alignment horizontal="left" vertical="center" wrapText="1" indent="1"/>
    </xf>
    <xf numFmtId="49" fontId="3" fillId="6" borderId="96" xfId="0" applyNumberFormat="1" applyFont="1" applyFill="1" applyBorder="1" applyAlignment="1" applyProtection="1">
      <alignment horizontal="center" vertical="center" wrapText="1"/>
    </xf>
    <xf numFmtId="164" fontId="3" fillId="7" borderId="48" xfId="0" applyNumberFormat="1" applyFont="1" applyFill="1" applyBorder="1" applyAlignment="1" applyProtection="1">
      <alignment horizontal="center" vertical="center"/>
    </xf>
    <xf numFmtId="164" fontId="3" fillId="7" borderId="10" xfId="0" applyNumberFormat="1" applyFont="1" applyFill="1" applyBorder="1" applyAlignment="1" applyProtection="1">
      <alignment horizontal="center" vertical="center"/>
    </xf>
    <xf numFmtId="164" fontId="3" fillId="7" borderId="43" xfId="0" applyNumberFormat="1" applyFont="1" applyFill="1" applyBorder="1" applyAlignment="1" applyProtection="1">
      <alignment horizontal="center" vertical="center"/>
    </xf>
    <xf numFmtId="164" fontId="3" fillId="7" borderId="11" xfId="0" applyNumberFormat="1" applyFont="1" applyFill="1" applyBorder="1" applyAlignment="1" applyProtection="1">
      <alignment horizontal="center" vertical="center"/>
    </xf>
    <xf numFmtId="0" fontId="8" fillId="6" borderId="0" xfId="6" applyFont="1" applyFill="1" applyBorder="1" applyAlignment="1">
      <alignment horizontal="left" vertical="top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19" xfId="0" applyNumberFormat="1" applyFont="1" applyFill="1" applyBorder="1" applyAlignment="1" applyProtection="1">
      <alignment horizontal="center" vertical="center" wrapText="1"/>
    </xf>
    <xf numFmtId="49" fontId="8" fillId="0" borderId="57" xfId="0" applyNumberFormat="1" applyFont="1" applyBorder="1" applyAlignment="1" applyProtection="1">
      <alignment horizontal="center" vertical="center" wrapText="1"/>
    </xf>
    <xf numFmtId="49" fontId="8" fillId="0" borderId="23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20" xfId="0" applyNumberFormat="1" applyFont="1" applyBorder="1" applyAlignment="1" applyProtection="1">
      <alignment horizontal="center" vertical="center" wrapText="1"/>
    </xf>
    <xf numFmtId="49" fontId="8" fillId="0" borderId="66" xfId="0" applyNumberFormat="1" applyFont="1" applyBorder="1" applyAlignment="1" applyProtection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49" fontId="8" fillId="0" borderId="69" xfId="0" quotePrefix="1" applyNumberFormat="1" applyFont="1" applyBorder="1" applyAlignment="1" applyProtection="1">
      <alignment horizontal="center" vertical="center" wrapText="1"/>
    </xf>
    <xf numFmtId="49" fontId="8" fillId="0" borderId="67" xfId="0" quotePrefix="1" applyNumberFormat="1" applyFont="1" applyBorder="1" applyAlignment="1" applyProtection="1">
      <alignment horizontal="center" vertical="center" wrapText="1"/>
    </xf>
    <xf numFmtId="49" fontId="8" fillId="0" borderId="8" xfId="0" quotePrefix="1" applyNumberFormat="1" applyFont="1" applyBorder="1" applyAlignment="1" applyProtection="1">
      <alignment horizontal="center" vertical="center" wrapText="1"/>
    </xf>
    <xf numFmtId="49" fontId="8" fillId="0" borderId="27" xfId="0" quotePrefix="1" applyNumberFormat="1" applyFont="1" applyBorder="1" applyAlignment="1" applyProtection="1">
      <alignment horizontal="center" vertical="center" wrapText="1"/>
    </xf>
    <xf numFmtId="49" fontId="8" fillId="0" borderId="8" xfId="0" quotePrefix="1" applyNumberFormat="1" applyFont="1" applyBorder="1" applyAlignment="1" applyProtection="1">
      <alignment horizontal="center" vertical="center"/>
    </xf>
    <xf numFmtId="49" fontId="8" fillId="0" borderId="6" xfId="0" quotePrefix="1" applyNumberFormat="1" applyFont="1" applyBorder="1" applyAlignment="1" applyProtection="1">
      <alignment horizontal="center" vertical="center"/>
    </xf>
    <xf numFmtId="0" fontId="14" fillId="0" borderId="97" xfId="0" applyFont="1" applyBorder="1" applyAlignment="1" applyProtection="1">
      <alignment horizontal="center"/>
    </xf>
    <xf numFmtId="0" fontId="14" fillId="0" borderId="1" xfId="0" quotePrefix="1" applyFont="1" applyBorder="1" applyAlignment="1" applyProtection="1">
      <alignment horizontal="center"/>
    </xf>
    <xf numFmtId="0" fontId="14" fillId="0" borderId="1" xfId="0" quotePrefix="1" applyFont="1" applyBorder="1" applyAlignment="1" applyProtection="1"/>
    <xf numFmtId="0" fontId="14" fillId="0" borderId="7" xfId="0" quotePrefix="1" applyFont="1" applyBorder="1" applyAlignment="1" applyProtection="1"/>
    <xf numFmtId="0" fontId="45" fillId="0" borderId="33" xfId="0" applyFont="1" applyBorder="1" applyProtection="1"/>
    <xf numFmtId="0" fontId="8" fillId="0" borderId="31" xfId="0" applyFont="1" applyBorder="1" applyAlignment="1" applyProtection="1">
      <alignment horizontal="left" indent="1"/>
    </xf>
    <xf numFmtId="0" fontId="3" fillId="0" borderId="98" xfId="0" applyFont="1" applyBorder="1" applyAlignment="1" applyProtection="1">
      <alignment horizontal="center" vertical="center"/>
    </xf>
    <xf numFmtId="49" fontId="1" fillId="0" borderId="93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93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 wrapText="1"/>
    </xf>
    <xf numFmtId="49" fontId="3" fillId="0" borderId="63" xfId="0" applyNumberFormat="1" applyFont="1" applyFill="1" applyBorder="1" applyAlignment="1" applyProtection="1">
      <alignment horizontal="center" vertical="center" wrapText="1"/>
    </xf>
    <xf numFmtId="49" fontId="3" fillId="0" borderId="75" xfId="0" applyNumberFormat="1" applyFont="1" applyFill="1" applyBorder="1" applyAlignment="1" applyProtection="1">
      <alignment horizontal="center" vertical="center" wrapText="1"/>
    </xf>
    <xf numFmtId="0" fontId="3" fillId="0" borderId="83" xfId="0" quotePrefix="1" applyFont="1" applyFill="1" applyBorder="1" applyAlignment="1" applyProtection="1">
      <alignment horizontal="center" vertical="center"/>
    </xf>
    <xf numFmtId="49" fontId="3" fillId="0" borderId="71" xfId="0" applyNumberFormat="1" applyFont="1" applyFill="1" applyBorder="1" applyAlignment="1" applyProtection="1">
      <alignment horizontal="center" vertical="center" wrapText="1"/>
    </xf>
    <xf numFmtId="49" fontId="3" fillId="0" borderId="83" xfId="0" applyNumberFormat="1" applyFont="1" applyFill="1" applyBorder="1" applyAlignment="1" applyProtection="1">
      <alignment horizontal="center" vertical="center" wrapText="1"/>
    </xf>
    <xf numFmtId="49" fontId="3" fillId="0" borderId="86" xfId="0" applyNumberFormat="1" applyFont="1" applyFill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3" fillId="0" borderId="39" xfId="0" applyFont="1" applyBorder="1" applyAlignment="1">
      <alignment horizontal="center" vertical="center"/>
    </xf>
    <xf numFmtId="164" fontId="45" fillId="0" borderId="39" xfId="1" applyNumberFormat="1" applyFont="1" applyFill="1" applyBorder="1" applyAlignment="1" applyProtection="1">
      <alignment horizontal="center" vertical="center"/>
    </xf>
    <xf numFmtId="1" fontId="45" fillId="0" borderId="39" xfId="1" quotePrefix="1" applyNumberFormat="1" applyFont="1" applyFill="1" applyBorder="1" applyAlignment="1" applyProtection="1">
      <alignment horizontal="center"/>
    </xf>
    <xf numFmtId="164" fontId="45" fillId="0" borderId="39" xfId="0" quotePrefix="1" applyNumberFormat="1" applyFont="1" applyBorder="1" applyAlignment="1">
      <alignment horizontal="center"/>
    </xf>
    <xf numFmtId="164" fontId="45" fillId="0" borderId="39" xfId="0" applyNumberFormat="1" applyFont="1" applyBorder="1" applyAlignment="1">
      <alignment horizontal="center"/>
    </xf>
    <xf numFmtId="0" fontId="3" fillId="0" borderId="39" xfId="0" applyFont="1" applyBorder="1"/>
    <xf numFmtId="164" fontId="27" fillId="0" borderId="39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27" fillId="0" borderId="39" xfId="0" quotePrefix="1" applyNumberFormat="1" applyFont="1" applyBorder="1" applyAlignment="1">
      <alignment horizontal="center"/>
    </xf>
    <xf numFmtId="164" fontId="3" fillId="0" borderId="39" xfId="0" quotePrefix="1" applyNumberFormat="1" applyFont="1" applyFill="1" applyBorder="1" applyAlignment="1" applyProtection="1">
      <alignment horizontal="center" vertical="center"/>
    </xf>
    <xf numFmtId="0" fontId="0" fillId="0" borderId="39" xfId="0" applyFont="1" applyBorder="1" applyAlignment="1">
      <alignment horizontal="center" vertical="center"/>
    </xf>
    <xf numFmtId="164" fontId="3" fillId="0" borderId="39" xfId="1" applyNumberFormat="1" applyFont="1" applyFill="1" applyBorder="1" applyAlignment="1" applyProtection="1">
      <alignment horizontal="center"/>
    </xf>
    <xf numFmtId="0" fontId="0" fillId="0" borderId="39" xfId="0" applyBorder="1" applyAlignment="1">
      <alignment horizontal="center"/>
    </xf>
    <xf numFmtId="164" fontId="47" fillId="0" borderId="39" xfId="1" applyNumberFormat="1" applyFont="1" applyFill="1" applyBorder="1" applyAlignment="1" applyProtection="1">
      <alignment horizontal="center"/>
    </xf>
    <xf numFmtId="164" fontId="0" fillId="0" borderId="39" xfId="0" applyNumberFormat="1" applyBorder="1" applyAlignment="1">
      <alignment horizontal="center"/>
    </xf>
    <xf numFmtId="164" fontId="45" fillId="0" borderId="39" xfId="1" applyNumberFormat="1" applyFont="1" applyFill="1" applyBorder="1" applyAlignment="1" applyProtection="1">
      <alignment horizontal="center"/>
    </xf>
    <xf numFmtId="164" fontId="53" fillId="0" borderId="39" xfId="0" applyNumberFormat="1" applyFont="1" applyBorder="1" applyAlignment="1">
      <alignment horizontal="center"/>
    </xf>
    <xf numFmtId="164" fontId="8" fillId="0" borderId="39" xfId="0" applyNumberFormat="1" applyFont="1" applyFill="1" applyBorder="1" applyAlignment="1" applyProtection="1">
      <alignment horizontal="center"/>
    </xf>
    <xf numFmtId="9" fontId="3" fillId="0" borderId="39" xfId="0" applyNumberFormat="1" applyFont="1" applyFill="1" applyBorder="1" applyAlignment="1" applyProtection="1">
      <alignment horizontal="center"/>
    </xf>
    <xf numFmtId="0" fontId="45" fillId="0" borderId="39" xfId="0" applyFont="1" applyBorder="1"/>
    <xf numFmtId="2" fontId="47" fillId="0" borderId="39" xfId="1" applyNumberFormat="1" applyFont="1" applyFill="1" applyBorder="1" applyAlignment="1" applyProtection="1">
      <alignment horizontal="center"/>
    </xf>
    <xf numFmtId="164" fontId="3" fillId="0" borderId="39" xfId="0" quotePrefix="1" applyNumberFormat="1" applyFont="1" applyFill="1" applyBorder="1" applyAlignment="1" applyProtection="1">
      <alignment horizontal="center"/>
    </xf>
    <xf numFmtId="165" fontId="3" fillId="0" borderId="39" xfId="0" quotePrefix="1" applyNumberFormat="1" applyFont="1" applyFill="1" applyBorder="1" applyAlignment="1" applyProtection="1">
      <alignment horizontal="center"/>
    </xf>
    <xf numFmtId="164" fontId="8" fillId="0" borderId="39" xfId="0" quotePrefix="1" applyNumberFormat="1" applyFont="1" applyFill="1" applyBorder="1" applyAlignment="1" applyProtection="1">
      <alignment horizontal="center"/>
    </xf>
    <xf numFmtId="9" fontId="3" fillId="0" borderId="39" xfId="0" quotePrefix="1" applyNumberFormat="1" applyFont="1" applyFill="1" applyBorder="1" applyAlignment="1" applyProtection="1">
      <alignment horizontal="center"/>
    </xf>
    <xf numFmtId="1" fontId="3" fillId="0" borderId="39" xfId="1" applyNumberFormat="1" applyFont="1" applyFill="1" applyBorder="1" applyAlignment="1" applyProtection="1">
      <alignment horizontal="center" vertical="center"/>
    </xf>
    <xf numFmtId="9" fontId="3" fillId="0" borderId="39" xfId="1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/>
    </xf>
    <xf numFmtId="9" fontId="3" fillId="0" borderId="39" xfId="4" applyFont="1" applyFill="1" applyBorder="1" applyAlignment="1" applyProtection="1">
      <alignment horizontal="center"/>
    </xf>
    <xf numFmtId="164" fontId="8" fillId="0" borderId="39" xfId="0" quotePrefix="1" applyNumberFormat="1" applyFont="1" applyFill="1" applyBorder="1" applyAlignment="1" applyProtection="1">
      <alignment horizontal="center" vertical="center"/>
    </xf>
    <xf numFmtId="9" fontId="3" fillId="0" borderId="39" xfId="0" quotePrefix="1" applyNumberFormat="1" applyFont="1" applyFill="1" applyBorder="1" applyAlignment="1" applyProtection="1">
      <alignment horizontal="center" vertical="center" wrapText="1"/>
    </xf>
    <xf numFmtId="164" fontId="8" fillId="0" borderId="39" xfId="0" quotePrefix="1" applyNumberFormat="1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2" fontId="47" fillId="0" borderId="39" xfId="1" quotePrefix="1" applyNumberFormat="1" applyFont="1" applyFill="1" applyBorder="1" applyAlignment="1" applyProtection="1">
      <alignment horizontal="center"/>
    </xf>
    <xf numFmtId="164" fontId="8" fillId="0" borderId="39" xfId="0" applyNumberFormat="1" applyFont="1" applyFill="1" applyBorder="1" applyAlignment="1" applyProtection="1">
      <alignment horizontal="center" vertical="center"/>
    </xf>
    <xf numFmtId="164" fontId="50" fillId="0" borderId="39" xfId="1" quotePrefix="1" applyNumberFormat="1" applyFont="1" applyFill="1" applyBorder="1" applyAlignment="1" applyProtection="1">
      <alignment horizontal="center" vertical="center"/>
    </xf>
    <xf numFmtId="164" fontId="50" fillId="0" borderId="39" xfId="1" applyNumberFormat="1" applyFont="1" applyFill="1" applyBorder="1" applyAlignment="1" applyProtection="1">
      <alignment horizontal="center" vertical="center"/>
    </xf>
    <xf numFmtId="164" fontId="8" fillId="0" borderId="39" xfId="1" quotePrefix="1" applyNumberFormat="1" applyFont="1" applyFill="1" applyBorder="1" applyAlignment="1" applyProtection="1">
      <alignment horizontal="center" vertical="center"/>
    </xf>
    <xf numFmtId="0" fontId="53" fillId="0" borderId="39" xfId="0" applyFont="1" applyBorder="1" applyAlignment="1">
      <alignment horizontal="center" vertical="center"/>
    </xf>
    <xf numFmtId="164" fontId="45" fillId="0" borderId="39" xfId="1" quotePrefix="1" applyNumberFormat="1" applyFont="1" applyFill="1" applyBorder="1" applyAlignment="1" applyProtection="1">
      <alignment horizontal="center"/>
      <protection hidden="1"/>
    </xf>
    <xf numFmtId="0" fontId="53" fillId="0" borderId="39" xfId="0" applyFont="1" applyBorder="1" applyAlignment="1">
      <alignment horizontal="center"/>
    </xf>
    <xf numFmtId="164" fontId="45" fillId="0" borderId="39" xfId="1" applyNumberFormat="1" applyFont="1" applyFill="1" applyBorder="1" applyAlignment="1" applyProtection="1">
      <alignment horizontal="center"/>
      <protection hidden="1"/>
    </xf>
    <xf numFmtId="164" fontId="8" fillId="0" borderId="39" xfId="1" quotePrefix="1" applyNumberFormat="1" applyFont="1" applyFill="1" applyBorder="1" applyAlignment="1" applyProtection="1">
      <alignment horizontal="center"/>
    </xf>
    <xf numFmtId="164" fontId="8" fillId="0" borderId="39" xfId="1" applyNumberFormat="1" applyFont="1" applyFill="1" applyBorder="1" applyAlignment="1" applyProtection="1">
      <alignment horizontal="center"/>
    </xf>
    <xf numFmtId="164" fontId="8" fillId="0" borderId="39" xfId="0" applyNumberFormat="1" applyFont="1" applyBorder="1" applyAlignment="1" applyProtection="1">
      <alignment horizontal="center"/>
    </xf>
    <xf numFmtId="164" fontId="3" fillId="7" borderId="57" xfId="0" applyNumberFormat="1" applyFont="1" applyFill="1" applyBorder="1" applyAlignment="1" applyProtection="1">
      <alignment horizontal="center" vertical="center"/>
    </xf>
    <xf numFmtId="164" fontId="3" fillId="7" borderId="4" xfId="0" applyNumberFormat="1" applyFont="1" applyFill="1" applyBorder="1" applyAlignment="1" applyProtection="1">
      <alignment horizontal="center" vertical="center"/>
    </xf>
    <xf numFmtId="164" fontId="3" fillId="7" borderId="99" xfId="0" applyNumberFormat="1" applyFont="1" applyFill="1" applyBorder="1" applyAlignment="1" applyProtection="1">
      <alignment horizontal="center" vertical="center"/>
    </xf>
    <xf numFmtId="164" fontId="3" fillId="7" borderId="5" xfId="0" applyNumberFormat="1" applyFont="1" applyFill="1" applyBorder="1" applyAlignment="1" applyProtection="1">
      <alignment horizontal="center" vertical="center"/>
    </xf>
    <xf numFmtId="0" fontId="45" fillId="0" borderId="39" xfId="0" applyFont="1" applyBorder="1" applyAlignment="1">
      <alignment vertical="center"/>
    </xf>
    <xf numFmtId="17" fontId="8" fillId="0" borderId="39" xfId="0" quotePrefix="1" applyNumberFormat="1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164" fontId="25" fillId="0" borderId="39" xfId="0" applyNumberFormat="1" applyFont="1" applyBorder="1" applyAlignment="1">
      <alignment horizontal="center"/>
    </xf>
    <xf numFmtId="0" fontId="8" fillId="6" borderId="0" xfId="6" applyFont="1" applyFill="1" applyBorder="1" applyAlignment="1">
      <alignment horizontal="left" vertical="top" wrapText="1"/>
    </xf>
    <xf numFmtId="0" fontId="60" fillId="6" borderId="0" xfId="6" applyFont="1" applyFill="1" applyBorder="1" applyAlignment="1">
      <alignment horizontal="center" vertical="top" wrapText="1"/>
    </xf>
    <xf numFmtId="0" fontId="3" fillId="0" borderId="0" xfId="6" applyFont="1" applyFill="1" applyBorder="1" applyAlignment="1">
      <alignment horizontal="left" vertical="top" wrapText="1"/>
    </xf>
    <xf numFmtId="0" fontId="3" fillId="0" borderId="0" xfId="6" applyFont="1" applyBorder="1" applyAlignment="1">
      <alignment horizontal="left" vertical="top" wrapText="1"/>
    </xf>
    <xf numFmtId="17" fontId="8" fillId="0" borderId="92" xfId="0" quotePrefix="1" applyNumberFormat="1" applyFont="1" applyFill="1" applyBorder="1" applyAlignment="1" applyProtection="1">
      <alignment horizontal="center" vertical="center"/>
    </xf>
    <xf numFmtId="0" fontId="8" fillId="0" borderId="93" xfId="0" applyFont="1" applyFill="1" applyBorder="1" applyAlignment="1" applyProtection="1">
      <alignment horizontal="center" vertical="center"/>
    </xf>
    <xf numFmtId="0" fontId="8" fillId="0" borderId="95" xfId="0" applyFont="1" applyFill="1" applyBorder="1" applyAlignment="1" applyProtection="1">
      <alignment horizontal="center" vertical="center"/>
    </xf>
    <xf numFmtId="164" fontId="8" fillId="0" borderId="51" xfId="0" applyNumberFormat="1" applyFont="1" applyBorder="1" applyAlignment="1" applyProtection="1">
      <alignment horizontal="center"/>
    </xf>
    <xf numFmtId="164" fontId="25" fillId="0" borderId="37" xfId="0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164" fontId="8" fillId="0" borderId="37" xfId="0" applyNumberFormat="1" applyFont="1" applyBorder="1" applyAlignment="1" applyProtection="1">
      <alignment horizontal="center"/>
    </xf>
    <xf numFmtId="164" fontId="8" fillId="0" borderId="76" xfId="1" quotePrefix="1" applyNumberFormat="1" applyFont="1" applyFill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0" fillId="0" borderId="77" xfId="0" applyBorder="1" applyAlignment="1">
      <alignment horizontal="center"/>
    </xf>
    <xf numFmtId="164" fontId="8" fillId="0" borderId="76" xfId="1" applyNumberFormat="1" applyFont="1" applyFill="1" applyBorder="1" applyAlignment="1" applyProtection="1">
      <alignment horizontal="center"/>
    </xf>
    <xf numFmtId="0" fontId="0" fillId="0" borderId="78" xfId="0" applyBorder="1" applyAlignment="1">
      <alignment horizontal="center"/>
    </xf>
    <xf numFmtId="164" fontId="8" fillId="0" borderId="79" xfId="1" quotePrefix="1" applyNumberFormat="1" applyFont="1" applyFill="1" applyBorder="1" applyAlignment="1" applyProtection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7" xfId="0" applyBorder="1" applyAlignment="1">
      <alignment horizontal="center"/>
    </xf>
    <xf numFmtId="49" fontId="8" fillId="0" borderId="8" xfId="0" quotePrefix="1" applyNumberFormat="1" applyFont="1" applyBorder="1" applyAlignment="1" applyProtection="1">
      <alignment horizontal="center" vertical="center" wrapText="1"/>
    </xf>
    <xf numFmtId="49" fontId="8" fillId="0" borderId="27" xfId="0" quotePrefix="1" applyNumberFormat="1" applyFont="1" applyBorder="1" applyAlignment="1" applyProtection="1">
      <alignment horizontal="center" vertical="center" wrapText="1"/>
    </xf>
    <xf numFmtId="49" fontId="8" fillId="0" borderId="8" xfId="0" quotePrefix="1" applyNumberFormat="1" applyFont="1" applyBorder="1" applyAlignment="1" applyProtection="1">
      <alignment horizontal="center" vertical="center"/>
    </xf>
    <xf numFmtId="49" fontId="8" fillId="0" borderId="6" xfId="0" quotePrefix="1" applyNumberFormat="1" applyFont="1" applyBorder="1" applyAlignment="1" applyProtection="1">
      <alignment horizontal="center" vertical="center"/>
    </xf>
    <xf numFmtId="164" fontId="8" fillId="0" borderId="72" xfId="1" quotePrefix="1" applyNumberFormat="1" applyFont="1" applyFill="1" applyBorder="1" applyAlignment="1" applyProtection="1">
      <alignment horizontal="center" vertical="center"/>
    </xf>
    <xf numFmtId="0" fontId="53" fillId="0" borderId="71" xfId="0" applyFont="1" applyBorder="1" applyAlignment="1">
      <alignment horizontal="center" vertical="center"/>
    </xf>
    <xf numFmtId="0" fontId="53" fillId="0" borderId="73" xfId="0" applyFont="1" applyBorder="1" applyAlignment="1">
      <alignment horizontal="center" vertical="center"/>
    </xf>
    <xf numFmtId="0" fontId="53" fillId="0" borderId="74" xfId="0" applyFont="1" applyBorder="1" applyAlignment="1">
      <alignment horizontal="center" vertical="center"/>
    </xf>
    <xf numFmtId="164" fontId="45" fillId="0" borderId="82" xfId="1" quotePrefix="1" applyNumberFormat="1" applyFont="1" applyFill="1" applyBorder="1" applyAlignment="1" applyProtection="1">
      <alignment horizontal="center"/>
      <protection hidden="1"/>
    </xf>
    <xf numFmtId="0" fontId="53" fillId="0" borderId="83" xfId="0" applyFont="1" applyBorder="1" applyAlignment="1">
      <alignment horizontal="center"/>
    </xf>
    <xf numFmtId="0" fontId="53" fillId="0" borderId="84" xfId="0" applyFont="1" applyBorder="1" applyAlignment="1">
      <alignment horizontal="center"/>
    </xf>
    <xf numFmtId="164" fontId="8" fillId="0" borderId="76" xfId="0" quotePrefix="1" applyNumberFormat="1" applyFont="1" applyFill="1" applyBorder="1" applyAlignment="1" applyProtection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9" fontId="3" fillId="0" borderId="13" xfId="0" quotePrefix="1" applyNumberFormat="1" applyFont="1" applyFill="1" applyBorder="1" applyAlignment="1" applyProtection="1">
      <alignment horizontal="center" vertical="center" wrapText="1"/>
    </xf>
    <xf numFmtId="9" fontId="3" fillId="0" borderId="0" xfId="0" quotePrefix="1" applyNumberFormat="1" applyFont="1" applyFill="1" applyBorder="1" applyAlignment="1" applyProtection="1">
      <alignment horizontal="center" vertical="center" wrapText="1"/>
    </xf>
    <xf numFmtId="9" fontId="3" fillId="0" borderId="14" xfId="0" quotePrefix="1" applyNumberFormat="1" applyFont="1" applyFill="1" applyBorder="1" applyAlignment="1" applyProtection="1">
      <alignment horizontal="center" vertical="center" wrapText="1"/>
    </xf>
    <xf numFmtId="164" fontId="8" fillId="0" borderId="64" xfId="0" quotePrefix="1" applyNumberFormat="1" applyFont="1" applyFill="1" applyBorder="1" applyAlignment="1" applyProtection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4" fontId="8" fillId="0" borderId="64" xfId="0" quotePrefix="1" applyNumberFormat="1" applyFont="1" applyFill="1" applyBorder="1" applyAlignment="1" applyProtection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164" fontId="45" fillId="0" borderId="82" xfId="1" applyNumberFormat="1" applyFont="1" applyFill="1" applyBorder="1" applyAlignment="1" applyProtection="1">
      <alignment horizontal="center"/>
      <protection hidden="1"/>
    </xf>
    <xf numFmtId="0" fontId="53" fillId="0" borderId="85" xfId="0" applyFont="1" applyBorder="1" applyAlignment="1">
      <alignment horizontal="center"/>
    </xf>
    <xf numFmtId="164" fontId="8" fillId="0" borderId="76" xfId="1" quotePrefix="1" applyNumberFormat="1" applyFont="1" applyFill="1" applyBorder="1" applyAlignment="1" applyProtection="1">
      <alignment horizontal="center" vertical="center"/>
    </xf>
    <xf numFmtId="164" fontId="8" fillId="0" borderId="52" xfId="0" quotePrefix="1" applyNumberFormat="1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8" fillId="0" borderId="52" xfId="0" quotePrefix="1" applyNumberFormat="1" applyFont="1" applyFill="1" applyBorder="1" applyAlignment="1" applyProtection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49" fontId="8" fillId="0" borderId="69" xfId="0" quotePrefix="1" applyNumberFormat="1" applyFont="1" applyBorder="1" applyAlignment="1" applyProtection="1">
      <alignment horizontal="center" vertical="center" wrapText="1"/>
    </xf>
    <xf numFmtId="49" fontId="8" fillId="0" borderId="67" xfId="0" quotePrefix="1" applyNumberFormat="1" applyFont="1" applyBorder="1" applyAlignment="1" applyProtection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9" fontId="3" fillId="0" borderId="33" xfId="0" quotePrefix="1" applyNumberFormat="1" applyFont="1" applyFill="1" applyBorder="1" applyAlignment="1" applyProtection="1">
      <alignment horizontal="center"/>
    </xf>
    <xf numFmtId="9" fontId="3" fillId="0" borderId="31" xfId="0" quotePrefix="1" applyNumberFormat="1" applyFont="1" applyFill="1" applyBorder="1" applyAlignment="1" applyProtection="1">
      <alignment horizontal="center"/>
    </xf>
    <xf numFmtId="9" fontId="3" fillId="0" borderId="32" xfId="0" quotePrefix="1" applyNumberFormat="1" applyFont="1" applyFill="1" applyBorder="1" applyAlignment="1" applyProtection="1">
      <alignment horizontal="center"/>
    </xf>
    <xf numFmtId="0" fontId="0" fillId="0" borderId="30" xfId="0" applyBorder="1" applyAlignment="1">
      <alignment horizontal="center" vertical="center"/>
    </xf>
    <xf numFmtId="9" fontId="3" fillId="0" borderId="13" xfId="4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" fontId="3" fillId="0" borderId="33" xfId="1" applyNumberFormat="1" applyFont="1" applyFill="1" applyBorder="1" applyAlignment="1" applyProtection="1">
      <alignment horizontal="center" vertical="center"/>
    </xf>
    <xf numFmtId="1" fontId="3" fillId="0" borderId="31" xfId="1" applyNumberFormat="1" applyFont="1" applyFill="1" applyBorder="1" applyAlignment="1" applyProtection="1">
      <alignment horizontal="center" vertical="center"/>
    </xf>
    <xf numFmtId="1" fontId="3" fillId="0" borderId="56" xfId="1" applyNumberFormat="1" applyFont="1" applyFill="1" applyBorder="1" applyAlignment="1" applyProtection="1">
      <alignment horizontal="center" vertical="center"/>
    </xf>
    <xf numFmtId="1" fontId="3" fillId="0" borderId="32" xfId="1" applyNumberFormat="1" applyFont="1" applyFill="1" applyBorder="1" applyAlignment="1" applyProtection="1">
      <alignment horizontal="center" vertical="center"/>
    </xf>
    <xf numFmtId="9" fontId="3" fillId="0" borderId="13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47" fillId="0" borderId="13" xfId="1" applyNumberFormat="1" applyFont="1" applyFill="1" applyBorder="1" applyAlignment="1" applyProtection="1">
      <alignment horizontal="center"/>
    </xf>
    <xf numFmtId="164" fontId="3" fillId="0" borderId="13" xfId="0" quotePrefix="1" applyNumberFormat="1" applyFont="1" applyFill="1" applyBorder="1" applyAlignment="1" applyProtection="1">
      <alignment horizontal="center"/>
    </xf>
    <xf numFmtId="165" fontId="3" fillId="0" borderId="13" xfId="0" quotePrefix="1" applyNumberFormat="1" applyFont="1" applyFill="1" applyBorder="1" applyAlignment="1" applyProtection="1">
      <alignment horizontal="center"/>
    </xf>
    <xf numFmtId="165" fontId="3" fillId="0" borderId="0" xfId="0" quotePrefix="1" applyNumberFormat="1" applyFont="1" applyFill="1" applyBorder="1" applyAlignment="1" applyProtection="1">
      <alignment horizontal="center"/>
    </xf>
    <xf numFmtId="165" fontId="3" fillId="0" borderId="14" xfId="0" quotePrefix="1" applyNumberFormat="1" applyFont="1" applyFill="1" applyBorder="1" applyAlignment="1" applyProtection="1">
      <alignment horizontal="center"/>
    </xf>
    <xf numFmtId="164" fontId="8" fillId="0" borderId="52" xfId="0" applyNumberFormat="1" applyFont="1" applyFill="1" applyBorder="1" applyAlignment="1" applyProtection="1">
      <alignment horizont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164" fontId="3" fillId="0" borderId="33" xfId="0" quotePrefix="1" applyNumberFormat="1" applyFont="1" applyFill="1" applyBorder="1" applyAlignment="1" applyProtection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64" fontId="3" fillId="0" borderId="13" xfId="0" quotePrefix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64" fontId="3" fillId="0" borderId="13" xfId="1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9" fontId="3" fillId="0" borderId="33" xfId="0" applyNumberFormat="1" applyFont="1" applyFill="1" applyBorder="1" applyAlignment="1" applyProtection="1">
      <alignment horizontal="center"/>
    </xf>
    <xf numFmtId="9" fontId="3" fillId="0" borderId="31" xfId="0" applyNumberFormat="1" applyFont="1" applyFill="1" applyBorder="1" applyAlignment="1" applyProtection="1">
      <alignment horizontal="center"/>
    </xf>
    <xf numFmtId="9" fontId="3" fillId="0" borderId="56" xfId="0" applyNumberFormat="1" applyFont="1" applyFill="1" applyBorder="1" applyAlignment="1" applyProtection="1">
      <alignment horizontal="center"/>
    </xf>
    <xf numFmtId="9" fontId="3" fillId="0" borderId="32" xfId="0" applyNumberFormat="1" applyFont="1" applyFill="1" applyBorder="1" applyAlignment="1" applyProtection="1">
      <alignment horizontal="center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19" xfId="0" applyNumberFormat="1" applyFont="1" applyFill="1" applyBorder="1" applyAlignment="1" applyProtection="1">
      <alignment horizontal="center" vertical="center" wrapText="1"/>
    </xf>
    <xf numFmtId="49" fontId="8" fillId="0" borderId="57" xfId="0" applyNumberFormat="1" applyFont="1" applyBorder="1" applyAlignment="1" applyProtection="1">
      <alignment horizontal="center" vertical="center" wrapText="1"/>
    </xf>
    <xf numFmtId="49" fontId="8" fillId="0" borderId="23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20" xfId="0" applyNumberFormat="1" applyFont="1" applyBorder="1" applyAlignment="1" applyProtection="1">
      <alignment horizontal="center" vertical="center" wrapText="1"/>
    </xf>
    <xf numFmtId="49" fontId="8" fillId="0" borderId="66" xfId="0" applyNumberFormat="1" applyFont="1" applyBorder="1" applyAlignment="1" applyProtection="1">
      <alignment horizontal="center" vertical="center" wrapText="1"/>
    </xf>
    <xf numFmtId="164" fontId="45" fillId="0" borderId="58" xfId="1" applyNumberFormat="1" applyFont="1" applyFill="1" applyBorder="1" applyAlignment="1" applyProtection="1">
      <alignment horizontal="center" vertical="center"/>
    </xf>
    <xf numFmtId="164" fontId="45" fillId="0" borderId="59" xfId="1" applyNumberFormat="1" applyFont="1" applyFill="1" applyBorder="1" applyAlignment="1" applyProtection="1">
      <alignment horizontal="center" vertical="center"/>
    </xf>
    <xf numFmtId="164" fontId="45" fillId="0" borderId="60" xfId="1" applyNumberFormat="1" applyFont="1" applyFill="1" applyBorder="1" applyAlignment="1" applyProtection="1">
      <alignment horizontal="center" vertical="center"/>
    </xf>
    <xf numFmtId="164" fontId="45" fillId="0" borderId="62" xfId="1" applyNumberFormat="1" applyFont="1" applyFill="1" applyBorder="1" applyAlignment="1" applyProtection="1">
      <alignment horizontal="center" vertical="center"/>
    </xf>
    <xf numFmtId="164" fontId="47" fillId="0" borderId="13" xfId="1" applyNumberFormat="1" applyFon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45" fillId="0" borderId="13" xfId="1" applyNumberFormat="1" applyFont="1" applyFill="1" applyBorder="1" applyAlignment="1" applyProtection="1">
      <alignment horizontal="center"/>
    </xf>
    <xf numFmtId="164" fontId="53" fillId="0" borderId="0" xfId="0" applyNumberFormat="1" applyFont="1" applyAlignment="1">
      <alignment horizontal="center"/>
    </xf>
    <xf numFmtId="164" fontId="53" fillId="0" borderId="14" xfId="0" applyNumberFormat="1" applyFont="1" applyBorder="1" applyAlignment="1">
      <alignment horizontal="center"/>
    </xf>
    <xf numFmtId="164" fontId="27" fillId="0" borderId="13" xfId="0" applyNumberFormat="1" applyFont="1" applyBorder="1" applyAlignment="1">
      <alignment horizontal="center"/>
    </xf>
    <xf numFmtId="164" fontId="27" fillId="0" borderId="0" xfId="0" applyNumberFormat="1" applyFont="1" applyAlignment="1">
      <alignment horizontal="center"/>
    </xf>
    <xf numFmtId="164" fontId="27" fillId="0" borderId="12" xfId="0" applyNumberFormat="1" applyFont="1" applyBorder="1" applyAlignment="1">
      <alignment horizontal="center"/>
    </xf>
    <xf numFmtId="164" fontId="27" fillId="0" borderId="14" xfId="0" applyNumberFormat="1" applyFont="1" applyBorder="1" applyAlignment="1">
      <alignment horizontal="center"/>
    </xf>
    <xf numFmtId="49" fontId="4" fillId="0" borderId="25" xfId="0" quotePrefix="1" applyNumberFormat="1" applyFont="1" applyBorder="1" applyAlignment="1" applyProtection="1">
      <alignment horizontal="center" vertical="center" textRotation="90" wrapText="1"/>
    </xf>
    <xf numFmtId="49" fontId="4" fillId="0" borderId="26" xfId="0" quotePrefix="1" applyNumberFormat="1" applyFont="1" applyBorder="1" applyAlignment="1" applyProtection="1">
      <alignment horizontal="center" vertical="center" textRotation="90" wrapText="1"/>
    </xf>
    <xf numFmtId="49" fontId="4" fillId="0" borderId="25" xfId="0" quotePrefix="1" applyNumberFormat="1" applyFont="1" applyBorder="1" applyAlignment="1" applyProtection="1">
      <alignment horizontal="center" vertical="center" textRotation="90"/>
    </xf>
    <xf numFmtId="49" fontId="4" fillId="0" borderId="40" xfId="0" quotePrefix="1" applyNumberFormat="1" applyFont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4" fillId="0" borderId="5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49" fontId="4" fillId="0" borderId="25" xfId="0" applyNumberFormat="1" applyFont="1" applyBorder="1" applyAlignment="1" applyProtection="1">
      <alignment horizontal="center" vertical="center" textRotation="90" wrapText="1"/>
    </xf>
    <xf numFmtId="49" fontId="4" fillId="0" borderId="26" xfId="0" applyNumberFormat="1" applyFont="1" applyBorder="1" applyAlignment="1" applyProtection="1">
      <alignment horizontal="center" vertical="center" textRotation="90" wrapText="1"/>
    </xf>
    <xf numFmtId="49" fontId="4" fillId="0" borderId="34" xfId="0" quotePrefix="1" applyNumberFormat="1" applyFont="1" applyBorder="1" applyAlignment="1" applyProtection="1">
      <alignment horizontal="center" vertical="center" textRotation="90" wrapText="1"/>
    </xf>
    <xf numFmtId="1" fontId="3" fillId="0" borderId="8" xfId="1" applyNumberFormat="1" applyFont="1" applyFill="1" applyBorder="1" applyAlignment="1" applyProtection="1">
      <alignment horizontal="center" vertical="center"/>
    </xf>
    <xf numFmtId="1" fontId="3" fillId="0" borderId="0" xfId="1" applyNumberFormat="1" applyFont="1" applyFill="1" applyBorder="1" applyAlignment="1" applyProtection="1">
      <alignment horizontal="center" vertical="center"/>
    </xf>
    <xf numFmtId="1" fontId="3" fillId="0" borderId="12" xfId="1" applyNumberFormat="1" applyFont="1" applyFill="1" applyBorder="1" applyAlignment="1" applyProtection="1">
      <alignment horizontal="center" vertical="center"/>
    </xf>
    <xf numFmtId="1" fontId="3" fillId="0" borderId="13" xfId="1" applyNumberFormat="1" applyFont="1" applyFill="1" applyBorder="1" applyAlignment="1" applyProtection="1">
      <alignment horizontal="center" vertical="center"/>
    </xf>
    <xf numFmtId="1" fontId="3" fillId="0" borderId="14" xfId="1" applyNumberFormat="1" applyFont="1" applyFill="1" applyBorder="1" applyAlignment="1" applyProtection="1">
      <alignment horizontal="center" vertical="center"/>
    </xf>
  </cellXfs>
  <cellStyles count="8">
    <cellStyle name="20 % - Akzent4 2" xfId="1"/>
    <cellStyle name="20 % - Akzent4 2 2" xfId="3"/>
    <cellStyle name="20 % - Akzent4 2 3" xfId="5"/>
    <cellStyle name="Link" xfId="2" builtinId="8"/>
    <cellStyle name="Link 2" xfId="7"/>
    <cellStyle name="Prozent" xfId="4" builtinId="5"/>
    <cellStyle name="Standard" xfId="0" builtinId="0"/>
    <cellStyle name="Standard 2" xfId="6"/>
  </cellStyles>
  <dxfs count="5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bottom" textRotation="0" wrapText="0" indent="0" justifyLastLine="0" shrinkToFit="0" readingOrder="0"/>
      <protection locked="1" hidden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9D4"/>
      <color rgb="FFC5C6C6"/>
      <color rgb="FFFFFF99"/>
      <color rgb="FFE7F9FF"/>
      <color rgb="FFD1F3FF"/>
      <color rgb="FFABE9FF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Tabelle3" displayName="Tabelle3" ref="B2:M55" totalsRowShown="0" headerRowDxfId="16" headerRowBorderDxfId="15" tableBorderDxfId="14">
  <autoFilter ref="B2:M55"/>
  <tableColumns count="12">
    <tableColumn id="1" name="Bilanzglied Abkürzung"/>
    <tableColumn id="2" name="Variable"/>
    <tableColumn id="3" name="Einheit"/>
    <tableColumn id="4" name="Tr1 Min"/>
    <tableColumn id="5" name="Tr1 Median"/>
    <tableColumn id="6" name="Tr1 Max"/>
    <tableColumn id="7" name="Tr2 Min"/>
    <tableColumn id="8" name="Tr2 Median"/>
    <tableColumn id="9" name="Tr2 max"/>
    <tableColumn id="10" name="Tr3 Min"/>
    <tableColumn id="11" name="Tr3 Median"/>
    <tableColumn id="12" name="Tr3 Max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CLNemp_tbl_31" displayName="CLNemp_tbl_31" ref="A2:L67" totalsRowShown="0" headerRowDxfId="13" dataDxfId="12">
  <autoFilter ref="A2:L67"/>
  <tableColumns count="12">
    <tableColumn id="1" name="LRT_Code" dataDxfId="11"/>
    <tableColumn id="2" name="CLNmin" dataDxfId="10"/>
    <tableColumn id="3" name="CLNmean" dataDxfId="9">
      <calculatedColumnFormula>(D3+B3)/2</calculatedColumnFormula>
    </tableColumn>
    <tableColumn id="4" name="CLNmax" dataDxfId="8"/>
    <tableColumn id="5" name="CLLevel_min" dataDxfId="7"/>
    <tableColumn id="6" name="CLLevel_max" dataDxfId="6"/>
    <tableColumn id="11" name="CLN_Reliabilty" dataDxfId="5"/>
    <tableColumn id="7" name="LRT_NAME" dataDxfId="4"/>
    <tableColumn id="8" name="Typ" dataDxfId="3"/>
    <tableColumn id="9" name="LRT_NAME_long" dataDxfId="2"/>
    <tableColumn id="10" name="FFH_IG_ha_DE" dataDxfId="1"/>
    <tableColumn id="12" name="FFH_IG_ha_BW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ickstoff@lubw.bwl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tabSelected="1" zoomScale="130" zoomScaleNormal="130" workbookViewId="0">
      <selection activeCell="E11" sqref="E11"/>
    </sheetView>
  </sheetViews>
  <sheetFormatPr baseColWidth="10" defaultColWidth="11.42578125" defaultRowHeight="15.75" x14ac:dyDescent="0.25"/>
  <cols>
    <col min="1" max="1" width="14.5703125" style="362" customWidth="1"/>
    <col min="2" max="2" width="73" style="362" customWidth="1"/>
    <col min="3" max="16384" width="11.42578125" style="362"/>
  </cols>
  <sheetData>
    <row r="1" spans="1:5" ht="76.5" customHeight="1" x14ac:dyDescent="0.25">
      <c r="A1" s="487" t="s">
        <v>469</v>
      </c>
      <c r="B1" s="487"/>
      <c r="C1" s="487"/>
      <c r="D1" s="487"/>
      <c r="E1" s="487"/>
    </row>
    <row r="2" spans="1:5" ht="23.25" customHeight="1" x14ac:dyDescent="0.25">
      <c r="A2" s="486"/>
      <c r="B2" s="486"/>
      <c r="C2" s="393"/>
      <c r="D2" s="393"/>
      <c r="E2" s="393"/>
    </row>
    <row r="3" spans="1:5" ht="47.25" customHeight="1" x14ac:dyDescent="0.25">
      <c r="A3" s="378" t="s">
        <v>470</v>
      </c>
      <c r="B3" s="488" t="s">
        <v>467</v>
      </c>
      <c r="C3" s="488"/>
      <c r="D3" s="488"/>
      <c r="E3" s="488"/>
    </row>
    <row r="4" spans="1:5" ht="15.75" customHeight="1" x14ac:dyDescent="0.25">
      <c r="A4" s="377"/>
      <c r="B4" s="377"/>
      <c r="C4" s="373"/>
    </row>
    <row r="5" spans="1:5" ht="57.75" customHeight="1" x14ac:dyDescent="0.25">
      <c r="A5" s="363" t="s">
        <v>332</v>
      </c>
      <c r="B5" s="364" t="s">
        <v>466</v>
      </c>
      <c r="C5" s="373"/>
    </row>
    <row r="6" spans="1:5" ht="36" customHeight="1" x14ac:dyDescent="0.25">
      <c r="A6" s="363" t="s">
        <v>331</v>
      </c>
      <c r="B6" s="366" t="s">
        <v>333</v>
      </c>
      <c r="C6" s="373"/>
    </row>
    <row r="7" spans="1:5" x14ac:dyDescent="0.25">
      <c r="A7" s="363"/>
      <c r="B7" s="365"/>
      <c r="C7" s="373"/>
    </row>
    <row r="8" spans="1:5" x14ac:dyDescent="0.25">
      <c r="A8" s="363" t="s">
        <v>334</v>
      </c>
      <c r="B8" s="367" t="s">
        <v>465</v>
      </c>
      <c r="C8" s="373"/>
    </row>
    <row r="9" spans="1:5" x14ac:dyDescent="0.25">
      <c r="A9" s="363"/>
      <c r="B9" s="368"/>
      <c r="C9" s="373"/>
    </row>
    <row r="10" spans="1:5" ht="39" customHeight="1" x14ac:dyDescent="0.25">
      <c r="A10" s="489" t="s">
        <v>468</v>
      </c>
      <c r="B10" s="489"/>
      <c r="C10" s="489"/>
      <c r="D10" s="489"/>
      <c r="E10" s="489"/>
    </row>
    <row r="11" spans="1:5" x14ac:dyDescent="0.25">
      <c r="A11" s="375"/>
      <c r="B11" s="374"/>
      <c r="C11" s="373"/>
    </row>
    <row r="12" spans="1:5" x14ac:dyDescent="0.25">
      <c r="A12" s="375"/>
      <c r="B12" s="374"/>
      <c r="C12" s="373"/>
    </row>
    <row r="13" spans="1:5" x14ac:dyDescent="0.25">
      <c r="A13" s="375"/>
      <c r="B13" s="374"/>
      <c r="C13" s="373"/>
    </row>
    <row r="14" spans="1:5" x14ac:dyDescent="0.25">
      <c r="A14" s="375"/>
      <c r="B14" s="374"/>
      <c r="C14" s="373"/>
    </row>
    <row r="15" spans="1:5" x14ac:dyDescent="0.25">
      <c r="A15" s="375"/>
      <c r="B15" s="374"/>
      <c r="C15" s="373"/>
    </row>
    <row r="16" spans="1:5" x14ac:dyDescent="0.25">
      <c r="A16" s="375"/>
      <c r="B16" s="374"/>
      <c r="C16" s="373"/>
    </row>
    <row r="17" spans="1:3" x14ac:dyDescent="0.25">
      <c r="A17" s="375"/>
      <c r="B17" s="374"/>
      <c r="C17" s="373"/>
    </row>
    <row r="18" spans="1:3" x14ac:dyDescent="0.25">
      <c r="A18" s="375"/>
      <c r="B18" s="374"/>
      <c r="C18" s="373"/>
    </row>
    <row r="19" spans="1:3" x14ac:dyDescent="0.25">
      <c r="A19" s="375"/>
      <c r="B19" s="374"/>
      <c r="C19" s="373"/>
    </row>
    <row r="20" spans="1:3" x14ac:dyDescent="0.25">
      <c r="A20" s="375"/>
      <c r="B20" s="374"/>
      <c r="C20" s="373"/>
    </row>
    <row r="21" spans="1:3" x14ac:dyDescent="0.25">
      <c r="A21" s="375"/>
      <c r="B21" s="374"/>
      <c r="C21" s="373"/>
    </row>
    <row r="22" spans="1:3" x14ac:dyDescent="0.25">
      <c r="A22" s="376"/>
      <c r="B22" s="373"/>
      <c r="C22" s="373"/>
    </row>
    <row r="23" spans="1:3" x14ac:dyDescent="0.25">
      <c r="A23" s="373"/>
      <c r="B23" s="373"/>
      <c r="C23" s="373"/>
    </row>
    <row r="24" spans="1:3" x14ac:dyDescent="0.25">
      <c r="A24" s="373"/>
      <c r="B24" s="373"/>
      <c r="C24" s="373"/>
    </row>
    <row r="25" spans="1:3" x14ac:dyDescent="0.25">
      <c r="A25" s="373"/>
      <c r="B25" s="373"/>
      <c r="C25" s="373"/>
    </row>
    <row r="26" spans="1:3" x14ac:dyDescent="0.25">
      <c r="A26" s="373"/>
      <c r="B26" s="373"/>
      <c r="C26" s="373"/>
    </row>
    <row r="27" spans="1:3" x14ac:dyDescent="0.25">
      <c r="A27" s="373"/>
      <c r="B27" s="373"/>
      <c r="C27" s="373"/>
    </row>
    <row r="28" spans="1:3" x14ac:dyDescent="0.25">
      <c r="A28" s="373"/>
      <c r="B28" s="373"/>
      <c r="C28" s="373"/>
    </row>
    <row r="29" spans="1:3" x14ac:dyDescent="0.25">
      <c r="A29" s="373"/>
      <c r="B29" s="373"/>
      <c r="C29" s="373"/>
    </row>
    <row r="30" spans="1:3" x14ac:dyDescent="0.25">
      <c r="A30" s="373"/>
      <c r="B30" s="373"/>
      <c r="C30" s="373"/>
    </row>
  </sheetData>
  <mergeCells count="4">
    <mergeCell ref="A2:B2"/>
    <mergeCell ref="A1:E1"/>
    <mergeCell ref="B3:E3"/>
    <mergeCell ref="A10:E10"/>
  </mergeCells>
  <hyperlinks>
    <hyperlink ref="B6" r:id="rId1"/>
  </hyperlinks>
  <pageMargins left="0.78740157480314965" right="0.78740157480314965" top="0.78740157480314965" bottom="0.78740157480314965" header="0.31496062992125984" footer="0.31496062992125984"/>
  <pageSetup paperSize="9" scale="97" orientation="portrait" r:id="rId2"/>
  <headerFooter>
    <oddFooter>&amp;LCL Datenmappe 2024&amp;CBlatt &amp;A, Seite &amp;P von &amp;N&amp;RDruck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workbookViewId="0">
      <selection activeCell="B3" sqref="B3"/>
    </sheetView>
  </sheetViews>
  <sheetFormatPr baseColWidth="10" defaultRowHeight="15" x14ac:dyDescent="0.25"/>
  <cols>
    <col min="1" max="1" width="5.42578125" style="371" customWidth="1"/>
    <col min="2" max="2" width="32.42578125" style="371" customWidth="1"/>
    <col min="3" max="3" width="17.5703125" style="371" customWidth="1"/>
    <col min="4" max="4" width="78.28515625" style="372" customWidth="1"/>
    <col min="5" max="16384" width="11.42578125" style="371"/>
  </cols>
  <sheetData>
    <row r="1" spans="1:4" s="369" customFormat="1" x14ac:dyDescent="0.25">
      <c r="A1" s="369" t="s">
        <v>335</v>
      </c>
      <c r="B1" s="369" t="s">
        <v>336</v>
      </c>
      <c r="C1" s="369" t="s">
        <v>9</v>
      </c>
      <c r="D1" s="370" t="s">
        <v>337</v>
      </c>
    </row>
    <row r="2" spans="1:4" ht="30" x14ac:dyDescent="0.25">
      <c r="A2" s="371" t="s">
        <v>338</v>
      </c>
      <c r="B2" s="371" t="s">
        <v>480</v>
      </c>
      <c r="C2" s="371" t="s">
        <v>0</v>
      </c>
      <c r="D2" s="372" t="s">
        <v>339</v>
      </c>
    </row>
    <row r="3" spans="1:4" x14ac:dyDescent="0.25">
      <c r="A3" s="371" t="s">
        <v>340</v>
      </c>
      <c r="B3" s="371" t="s">
        <v>451</v>
      </c>
      <c r="C3" s="371" t="s">
        <v>341</v>
      </c>
      <c r="D3" s="372" t="s">
        <v>342</v>
      </c>
    </row>
    <row r="4" spans="1:4" x14ac:dyDescent="0.25">
      <c r="A4" s="371" t="s">
        <v>343</v>
      </c>
      <c r="B4" s="371" t="s">
        <v>16</v>
      </c>
      <c r="C4" s="371" t="s">
        <v>344</v>
      </c>
      <c r="D4" s="372" t="s">
        <v>345</v>
      </c>
    </row>
    <row r="5" spans="1:4" x14ac:dyDescent="0.25">
      <c r="A5" s="371" t="s">
        <v>346</v>
      </c>
      <c r="B5" s="371" t="s">
        <v>347</v>
      </c>
      <c r="C5" s="371" t="s">
        <v>348</v>
      </c>
      <c r="D5" s="372" t="s">
        <v>349</v>
      </c>
    </row>
    <row r="6" spans="1:4" ht="30" x14ac:dyDescent="0.25">
      <c r="A6" s="371" t="s">
        <v>350</v>
      </c>
      <c r="B6" s="371" t="s">
        <v>324</v>
      </c>
      <c r="C6" s="371" t="s">
        <v>311</v>
      </c>
      <c r="D6" s="372" t="s">
        <v>351</v>
      </c>
    </row>
    <row r="7" spans="1:4" x14ac:dyDescent="0.25">
      <c r="A7" s="371" t="s">
        <v>352</v>
      </c>
      <c r="B7" s="371" t="s">
        <v>353</v>
      </c>
      <c r="C7" s="371" t="s">
        <v>311</v>
      </c>
      <c r="D7" s="372" t="s">
        <v>354</v>
      </c>
    </row>
    <row r="8" spans="1:4" x14ac:dyDescent="0.25">
      <c r="A8" s="371" t="s">
        <v>355</v>
      </c>
      <c r="B8" s="371" t="s">
        <v>276</v>
      </c>
      <c r="C8" s="371" t="s">
        <v>356</v>
      </c>
      <c r="D8" s="372" t="s">
        <v>357</v>
      </c>
    </row>
    <row r="9" spans="1:4" x14ac:dyDescent="0.25">
      <c r="A9" s="371" t="s">
        <v>358</v>
      </c>
      <c r="B9" s="371" t="s">
        <v>452</v>
      </c>
      <c r="C9" s="371" t="s">
        <v>359</v>
      </c>
      <c r="D9" s="372" t="s">
        <v>233</v>
      </c>
    </row>
    <row r="10" spans="1:4" x14ac:dyDescent="0.25">
      <c r="A10" s="371" t="s">
        <v>360</v>
      </c>
      <c r="B10" s="371" t="s">
        <v>361</v>
      </c>
      <c r="C10" s="371" t="s">
        <v>348</v>
      </c>
      <c r="D10" s="372" t="s">
        <v>362</v>
      </c>
    </row>
    <row r="11" spans="1:4" ht="30" x14ac:dyDescent="0.25">
      <c r="A11" s="371" t="s">
        <v>363</v>
      </c>
      <c r="B11" s="371" t="s">
        <v>293</v>
      </c>
      <c r="C11" s="371" t="s">
        <v>19</v>
      </c>
      <c r="D11" s="372" t="s">
        <v>364</v>
      </c>
    </row>
    <row r="12" spans="1:4" x14ac:dyDescent="0.25">
      <c r="A12" s="371" t="s">
        <v>365</v>
      </c>
      <c r="B12" s="371" t="s">
        <v>278</v>
      </c>
      <c r="C12" s="371" t="s">
        <v>366</v>
      </c>
      <c r="D12" s="372" t="s">
        <v>367</v>
      </c>
    </row>
    <row r="13" spans="1:4" ht="45" x14ac:dyDescent="0.25">
      <c r="A13" s="371" t="s">
        <v>368</v>
      </c>
      <c r="B13" s="371" t="s">
        <v>296</v>
      </c>
      <c r="C13" s="371" t="s">
        <v>369</v>
      </c>
      <c r="D13" s="372" t="s">
        <v>370</v>
      </c>
    </row>
    <row r="14" spans="1:4" x14ac:dyDescent="0.25">
      <c r="A14" s="371" t="s">
        <v>371</v>
      </c>
      <c r="B14" s="371" t="s">
        <v>279</v>
      </c>
      <c r="C14" s="371" t="s">
        <v>356</v>
      </c>
      <c r="D14" s="372" t="s">
        <v>372</v>
      </c>
    </row>
    <row r="15" spans="1:4" x14ac:dyDescent="0.25">
      <c r="A15" s="371" t="s">
        <v>373</v>
      </c>
      <c r="B15" s="371" t="s">
        <v>294</v>
      </c>
      <c r="C15" s="371" t="s">
        <v>348</v>
      </c>
      <c r="D15" s="372" t="s">
        <v>374</v>
      </c>
    </row>
    <row r="16" spans="1:4" ht="30" x14ac:dyDescent="0.25">
      <c r="A16" s="371" t="s">
        <v>375</v>
      </c>
      <c r="B16" s="371" t="s">
        <v>376</v>
      </c>
      <c r="C16" s="371" t="s">
        <v>19</v>
      </c>
      <c r="D16" s="372" t="s">
        <v>377</v>
      </c>
    </row>
    <row r="17" spans="1:4" ht="30" x14ac:dyDescent="0.25">
      <c r="A17" s="371" t="s">
        <v>378</v>
      </c>
      <c r="B17" s="371" t="s">
        <v>280</v>
      </c>
      <c r="C17" s="371" t="s">
        <v>348</v>
      </c>
      <c r="D17" s="372" t="s">
        <v>379</v>
      </c>
    </row>
    <row r="18" spans="1:4" ht="30" x14ac:dyDescent="0.25">
      <c r="A18" s="371" t="s">
        <v>380</v>
      </c>
      <c r="B18" s="371" t="s">
        <v>459</v>
      </c>
      <c r="C18" s="371" t="s">
        <v>19</v>
      </c>
      <c r="D18" s="372" t="s">
        <v>381</v>
      </c>
    </row>
    <row r="19" spans="1:4" x14ac:dyDescent="0.25">
      <c r="A19" s="371" t="s">
        <v>382</v>
      </c>
      <c r="B19" s="371" t="s">
        <v>295</v>
      </c>
      <c r="C19" s="371" t="s">
        <v>348</v>
      </c>
      <c r="D19" s="372" t="s">
        <v>383</v>
      </c>
    </row>
    <row r="20" spans="1:4" ht="30" x14ac:dyDescent="0.25">
      <c r="A20" s="371" t="s">
        <v>384</v>
      </c>
      <c r="B20" s="371" t="s">
        <v>289</v>
      </c>
      <c r="C20" s="371" t="s">
        <v>348</v>
      </c>
      <c r="D20" s="372" t="s">
        <v>385</v>
      </c>
    </row>
    <row r="21" spans="1:4" ht="45" x14ac:dyDescent="0.25">
      <c r="A21" s="371" t="s">
        <v>386</v>
      </c>
      <c r="B21" s="371" t="s">
        <v>453</v>
      </c>
      <c r="C21" s="371" t="s">
        <v>387</v>
      </c>
      <c r="D21" s="372" t="s">
        <v>388</v>
      </c>
    </row>
    <row r="22" spans="1:4" ht="30" x14ac:dyDescent="0.25">
      <c r="A22" s="371" t="s">
        <v>389</v>
      </c>
      <c r="B22" s="371" t="s">
        <v>297</v>
      </c>
      <c r="C22" s="371" t="s">
        <v>390</v>
      </c>
      <c r="D22" s="372" t="s">
        <v>391</v>
      </c>
    </row>
    <row r="23" spans="1:4" x14ac:dyDescent="0.25">
      <c r="A23" s="371" t="s">
        <v>392</v>
      </c>
      <c r="B23" s="371" t="s">
        <v>298</v>
      </c>
      <c r="C23" s="371" t="s">
        <v>390</v>
      </c>
      <c r="D23" s="372" t="s">
        <v>454</v>
      </c>
    </row>
    <row r="24" spans="1:4" x14ac:dyDescent="0.25">
      <c r="A24" s="371" t="s">
        <v>393</v>
      </c>
      <c r="B24" s="371" t="s">
        <v>299</v>
      </c>
      <c r="C24" s="371" t="s">
        <v>390</v>
      </c>
      <c r="D24" s="372" t="s">
        <v>394</v>
      </c>
    </row>
    <row r="25" spans="1:4" ht="30" x14ac:dyDescent="0.25">
      <c r="A25" s="371" t="s">
        <v>395</v>
      </c>
      <c r="B25" s="371" t="s">
        <v>396</v>
      </c>
      <c r="C25" s="371" t="s">
        <v>348</v>
      </c>
      <c r="D25" s="372" t="s">
        <v>397</v>
      </c>
    </row>
    <row r="26" spans="1:4" ht="30" x14ac:dyDescent="0.25">
      <c r="A26" s="371" t="s">
        <v>398</v>
      </c>
      <c r="B26" s="371" t="s">
        <v>460</v>
      </c>
      <c r="C26" s="371" t="s">
        <v>19</v>
      </c>
      <c r="D26" s="372" t="s">
        <v>399</v>
      </c>
    </row>
    <row r="27" spans="1:4" x14ac:dyDescent="0.25">
      <c r="A27" s="371" t="s">
        <v>400</v>
      </c>
      <c r="B27" s="371" t="s">
        <v>401</v>
      </c>
      <c r="C27" s="371" t="s">
        <v>348</v>
      </c>
      <c r="D27" s="372" t="s">
        <v>402</v>
      </c>
    </row>
    <row r="28" spans="1:4" x14ac:dyDescent="0.25">
      <c r="A28" s="371" t="s">
        <v>403</v>
      </c>
      <c r="B28" s="371" t="s">
        <v>404</v>
      </c>
      <c r="C28" s="371" t="s">
        <v>348</v>
      </c>
      <c r="D28" s="372" t="s">
        <v>405</v>
      </c>
    </row>
    <row r="29" spans="1:4" x14ac:dyDescent="0.25">
      <c r="A29" s="371" t="s">
        <v>406</v>
      </c>
      <c r="B29" s="371" t="s">
        <v>407</v>
      </c>
      <c r="C29" s="371" t="s">
        <v>348</v>
      </c>
      <c r="D29" s="372" t="s">
        <v>455</v>
      </c>
    </row>
    <row r="30" spans="1:4" ht="45" x14ac:dyDescent="0.25">
      <c r="A30" s="371" t="s">
        <v>408</v>
      </c>
      <c r="B30" s="371" t="s">
        <v>461</v>
      </c>
      <c r="C30" s="371" t="s">
        <v>19</v>
      </c>
      <c r="D30" s="372" t="s">
        <v>409</v>
      </c>
    </row>
    <row r="31" spans="1:4" x14ac:dyDescent="0.25">
      <c r="A31" s="371" t="s">
        <v>410</v>
      </c>
      <c r="B31" s="371" t="s">
        <v>411</v>
      </c>
      <c r="C31" s="371" t="s">
        <v>348</v>
      </c>
      <c r="D31" s="372" t="s">
        <v>412</v>
      </c>
    </row>
    <row r="32" spans="1:4" ht="30" x14ac:dyDescent="0.25">
      <c r="A32" s="371" t="s">
        <v>413</v>
      </c>
      <c r="B32" s="371" t="s">
        <v>462</v>
      </c>
      <c r="C32" s="371" t="s">
        <v>19</v>
      </c>
      <c r="D32" s="372" t="s">
        <v>463</v>
      </c>
    </row>
    <row r="33" spans="1:4" x14ac:dyDescent="0.25">
      <c r="A33" s="371" t="s">
        <v>414</v>
      </c>
      <c r="B33" s="371" t="s">
        <v>415</v>
      </c>
      <c r="C33" s="371" t="s">
        <v>348</v>
      </c>
      <c r="D33" s="372" t="s">
        <v>456</v>
      </c>
    </row>
    <row r="34" spans="1:4" x14ac:dyDescent="0.25">
      <c r="A34" s="371" t="s">
        <v>416</v>
      </c>
      <c r="B34" s="371" t="s">
        <v>287</v>
      </c>
      <c r="C34" s="371" t="s">
        <v>0</v>
      </c>
      <c r="D34" s="372" t="s">
        <v>417</v>
      </c>
    </row>
    <row r="35" spans="1:4" x14ac:dyDescent="0.25">
      <c r="A35" s="371" t="s">
        <v>418</v>
      </c>
      <c r="B35" s="371" t="s">
        <v>419</v>
      </c>
      <c r="C35" s="371" t="s">
        <v>348</v>
      </c>
      <c r="D35" s="372" t="s">
        <v>420</v>
      </c>
    </row>
    <row r="36" spans="1:4" x14ac:dyDescent="0.25">
      <c r="A36" s="371" t="s">
        <v>421</v>
      </c>
      <c r="B36" s="371" t="s">
        <v>422</v>
      </c>
      <c r="C36" s="371" t="s">
        <v>348</v>
      </c>
      <c r="D36" s="372" t="s">
        <v>457</v>
      </c>
    </row>
    <row r="38" spans="1:4" x14ac:dyDescent="0.25">
      <c r="A38" s="371" t="s">
        <v>423</v>
      </c>
      <c r="B38" s="371" t="s">
        <v>424</v>
      </c>
      <c r="C38" s="371" t="s">
        <v>348</v>
      </c>
      <c r="D38" s="372" t="s">
        <v>425</v>
      </c>
    </row>
    <row r="39" spans="1:4" x14ac:dyDescent="0.25">
      <c r="A39" s="371" t="s">
        <v>426</v>
      </c>
      <c r="B39" s="371" t="s">
        <v>288</v>
      </c>
      <c r="C39" s="371" t="s">
        <v>19</v>
      </c>
      <c r="D39" s="372" t="s">
        <v>427</v>
      </c>
    </row>
    <row r="40" spans="1:4" x14ac:dyDescent="0.25">
      <c r="A40" s="371" t="s">
        <v>428</v>
      </c>
      <c r="B40" s="371" t="s">
        <v>429</v>
      </c>
      <c r="C40" s="371" t="s">
        <v>348</v>
      </c>
      <c r="D40" s="372" t="s">
        <v>430</v>
      </c>
    </row>
    <row r="41" spans="1:4" x14ac:dyDescent="0.25">
      <c r="A41" s="371" t="s">
        <v>431</v>
      </c>
      <c r="B41" s="371" t="s">
        <v>432</v>
      </c>
      <c r="C41" s="371" t="s">
        <v>348</v>
      </c>
      <c r="D41" s="372" t="s">
        <v>433</v>
      </c>
    </row>
    <row r="42" spans="1:4" ht="30" x14ac:dyDescent="0.25">
      <c r="B42" s="371" t="s">
        <v>434</v>
      </c>
      <c r="C42" s="371" t="s">
        <v>348</v>
      </c>
      <c r="D42" s="372" t="s">
        <v>435</v>
      </c>
    </row>
    <row r="43" spans="1:4" x14ac:dyDescent="0.25">
      <c r="B43" s="371" t="s">
        <v>273</v>
      </c>
      <c r="C43" s="371" t="s">
        <v>348</v>
      </c>
      <c r="D43" s="372" t="s">
        <v>436</v>
      </c>
    </row>
    <row r="44" spans="1:4" x14ac:dyDescent="0.25">
      <c r="B44" s="371" t="s">
        <v>437</v>
      </c>
      <c r="C44" s="371" t="s">
        <v>348</v>
      </c>
      <c r="D44" s="372" t="s">
        <v>438</v>
      </c>
    </row>
    <row r="45" spans="1:4" x14ac:dyDescent="0.25">
      <c r="B45" s="371" t="s">
        <v>439</v>
      </c>
      <c r="C45" s="371" t="s">
        <v>348</v>
      </c>
      <c r="D45" s="372" t="s">
        <v>440</v>
      </c>
    </row>
    <row r="46" spans="1:4" x14ac:dyDescent="0.25">
      <c r="B46" s="371" t="s">
        <v>441</v>
      </c>
      <c r="C46" s="371" t="s">
        <v>348</v>
      </c>
      <c r="D46" s="372" t="s">
        <v>442</v>
      </c>
    </row>
    <row r="47" spans="1:4" x14ac:dyDescent="0.25">
      <c r="B47" s="371" t="s">
        <v>443</v>
      </c>
      <c r="C47" s="371" t="s">
        <v>348</v>
      </c>
      <c r="D47" s="372" t="s">
        <v>444</v>
      </c>
    </row>
    <row r="48" spans="1:4" x14ac:dyDescent="0.25">
      <c r="B48" s="371" t="s">
        <v>445</v>
      </c>
      <c r="C48" s="371" t="s">
        <v>348</v>
      </c>
      <c r="D48" s="372" t="s">
        <v>446</v>
      </c>
    </row>
    <row r="49" spans="2:4" x14ac:dyDescent="0.25">
      <c r="B49" s="371" t="s">
        <v>447</v>
      </c>
      <c r="C49" s="371" t="s">
        <v>348</v>
      </c>
      <c r="D49" s="372" t="s">
        <v>448</v>
      </c>
    </row>
    <row r="50" spans="2:4" x14ac:dyDescent="0.25">
      <c r="B50" s="371" t="s">
        <v>449</v>
      </c>
      <c r="C50" s="371" t="s">
        <v>348</v>
      </c>
      <c r="D50" s="372" t="s">
        <v>450</v>
      </c>
    </row>
  </sheetData>
  <pageMargins left="0.78740157480314965" right="0.78740157480314965" top="0.78740157480314965" bottom="0.78740157480314965" header="0.31496062992125984" footer="0.31496062992125984"/>
  <pageSetup paperSize="9" scale="63" orientation="portrait" r:id="rId1"/>
  <headerFooter>
    <oddFooter>&amp;LCL Datenmappe 2024&amp;CBlatt &amp;A, Seite &amp;P von &amp;N&amp;RDruck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4"/>
  <sheetViews>
    <sheetView topLeftCell="B1" zoomScaleNormal="100" zoomScaleSheetLayoutView="100" workbookViewId="0">
      <pane ySplit="11565" topLeftCell="A45"/>
      <selection activeCell="O21" sqref="O21"/>
      <selection pane="bottomLeft" activeCell="B32" sqref="B32"/>
    </sheetView>
  </sheetViews>
  <sheetFormatPr baseColWidth="10" defaultColWidth="11.42578125" defaultRowHeight="15.75" x14ac:dyDescent="0.25"/>
  <cols>
    <col min="1" max="1" width="2.140625" style="1" customWidth="1"/>
    <col min="2" max="2" width="12.140625" style="261" customWidth="1"/>
    <col min="3" max="3" width="39.85546875" style="2" customWidth="1"/>
    <col min="4" max="4" width="20.85546875" style="2" customWidth="1"/>
    <col min="5" max="5" width="7.5703125" style="2" customWidth="1"/>
    <col min="6" max="6" width="9" style="2" customWidth="1"/>
    <col min="7" max="10" width="7.5703125" style="1" customWidth="1"/>
    <col min="11" max="13" width="7.5703125" style="2" customWidth="1"/>
    <col min="14" max="26" width="16.7109375" style="261" customWidth="1"/>
    <col min="27" max="28" width="16.7109375" style="2" customWidth="1"/>
    <col min="29" max="16384" width="11.42578125" style="2"/>
  </cols>
  <sheetData>
    <row r="1" spans="1:26" ht="16.5" thickBot="1" x14ac:dyDescent="0.3"/>
    <row r="2" spans="1:26" ht="19.5" thickBot="1" x14ac:dyDescent="0.35">
      <c r="A2" s="9"/>
      <c r="B2" s="303" t="s">
        <v>274</v>
      </c>
      <c r="C2" s="306">
        <v>6510</v>
      </c>
      <c r="D2" s="307" t="s">
        <v>152</v>
      </c>
      <c r="E2" s="307"/>
      <c r="F2" s="307"/>
      <c r="G2" s="307"/>
      <c r="H2" s="307"/>
      <c r="I2" s="307"/>
      <c r="J2" s="307"/>
      <c r="K2" s="307"/>
      <c r="L2" s="307"/>
      <c r="M2" s="308"/>
    </row>
    <row r="3" spans="1:26" ht="24.75" customHeight="1" x14ac:dyDescent="0.25">
      <c r="A3" s="45"/>
      <c r="B3" s="583" t="s">
        <v>321</v>
      </c>
      <c r="C3" s="585" t="s">
        <v>8</v>
      </c>
      <c r="D3" s="587" t="s">
        <v>9</v>
      </c>
      <c r="E3" s="264"/>
      <c r="F3" s="263" t="s">
        <v>245</v>
      </c>
      <c r="G3" s="262"/>
      <c r="H3" s="264"/>
      <c r="I3" s="263" t="s">
        <v>247</v>
      </c>
      <c r="J3" s="262"/>
      <c r="K3" s="264"/>
      <c r="L3" s="263" t="s">
        <v>246</v>
      </c>
      <c r="M3" s="265"/>
    </row>
    <row r="4" spans="1:26" ht="16.5" thickBot="1" x14ac:dyDescent="0.3">
      <c r="A4" s="9"/>
      <c r="B4" s="584"/>
      <c r="C4" s="586"/>
      <c r="D4" s="588"/>
      <c r="E4" s="278" t="s">
        <v>13</v>
      </c>
      <c r="F4" s="34" t="s">
        <v>11</v>
      </c>
      <c r="G4" s="34" t="s">
        <v>14</v>
      </c>
      <c r="H4" s="35" t="s">
        <v>13</v>
      </c>
      <c r="I4" s="34" t="s">
        <v>11</v>
      </c>
      <c r="J4" s="36" t="s">
        <v>14</v>
      </c>
      <c r="K4" s="35" t="s">
        <v>13</v>
      </c>
      <c r="L4" s="36" t="s">
        <v>11</v>
      </c>
      <c r="M4" s="37" t="s">
        <v>14</v>
      </c>
    </row>
    <row r="5" spans="1:26" s="8" customFormat="1" ht="18" customHeight="1" thickTop="1" x14ac:dyDescent="0.25">
      <c r="A5" s="38"/>
      <c r="B5" s="589" t="s">
        <v>270</v>
      </c>
      <c r="C5" s="312" t="s">
        <v>292</v>
      </c>
      <c r="D5" s="252" t="s">
        <v>316</v>
      </c>
      <c r="E5" s="590">
        <v>1</v>
      </c>
      <c r="F5" s="591"/>
      <c r="G5" s="592"/>
      <c r="H5" s="590">
        <v>1.5</v>
      </c>
      <c r="I5" s="591"/>
      <c r="J5" s="592"/>
      <c r="K5" s="590">
        <v>2</v>
      </c>
      <c r="L5" s="591"/>
      <c r="M5" s="593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26" ht="18" customHeight="1" x14ac:dyDescent="0.25">
      <c r="A6" s="9"/>
      <c r="B6" s="543"/>
      <c r="C6" s="311" t="s">
        <v>16</v>
      </c>
      <c r="D6" s="252" t="s">
        <v>317</v>
      </c>
      <c r="E6" s="379">
        <v>93</v>
      </c>
      <c r="F6" s="380">
        <v>277</v>
      </c>
      <c r="G6" s="381">
        <v>630</v>
      </c>
      <c r="H6" s="379">
        <v>93</v>
      </c>
      <c r="I6" s="380">
        <v>277</v>
      </c>
      <c r="J6" s="381">
        <v>630</v>
      </c>
      <c r="K6" s="379">
        <v>93</v>
      </c>
      <c r="L6" s="380">
        <v>277</v>
      </c>
      <c r="M6" s="382">
        <v>630</v>
      </c>
    </row>
    <row r="7" spans="1:26" ht="18" customHeight="1" x14ac:dyDescent="0.25">
      <c r="A7" s="9"/>
      <c r="B7" s="543"/>
      <c r="C7" s="348" t="s">
        <v>328</v>
      </c>
      <c r="D7" s="347" t="s">
        <v>329</v>
      </c>
      <c r="E7" s="349">
        <f>E5*E6/100</f>
        <v>0.93</v>
      </c>
      <c r="F7" s="350">
        <f>E5*F6/100</f>
        <v>2.77</v>
      </c>
      <c r="G7" s="351">
        <f>E5*G6/100</f>
        <v>6.3</v>
      </c>
      <c r="H7" s="350">
        <f>H5*H6/100</f>
        <v>1.395</v>
      </c>
      <c r="I7" s="350">
        <f>H5*I6/100</f>
        <v>4.1550000000000002</v>
      </c>
      <c r="J7" s="350">
        <f>H5*J6/100</f>
        <v>9.4499999999999993</v>
      </c>
      <c r="K7" s="352">
        <f>K5*K6/100</f>
        <v>1.86</v>
      </c>
      <c r="L7" s="350">
        <f>K5*L6/100</f>
        <v>5.54</v>
      </c>
      <c r="M7" s="353">
        <f>K5*M6/100</f>
        <v>12.6</v>
      </c>
    </row>
    <row r="8" spans="1:26" ht="18" customHeight="1" x14ac:dyDescent="0.25">
      <c r="A8" s="9"/>
      <c r="B8" s="543"/>
      <c r="C8" s="354" t="s">
        <v>330</v>
      </c>
      <c r="D8" s="347" t="s">
        <v>329</v>
      </c>
      <c r="E8" s="600">
        <v>3</v>
      </c>
      <c r="F8" s="601"/>
      <c r="G8" s="602"/>
      <c r="H8" s="601">
        <v>5</v>
      </c>
      <c r="I8" s="601"/>
      <c r="J8" s="601"/>
      <c r="K8" s="600">
        <v>7</v>
      </c>
      <c r="L8" s="601"/>
      <c r="M8" s="603"/>
    </row>
    <row r="9" spans="1:26" ht="18" customHeight="1" x14ac:dyDescent="0.25">
      <c r="A9" s="45"/>
      <c r="B9" s="544"/>
      <c r="C9" s="355" t="s">
        <v>270</v>
      </c>
      <c r="D9" s="356" t="s">
        <v>329</v>
      </c>
      <c r="E9" s="357">
        <f>IF(E7&lt;$E$8,E7,$E$8)</f>
        <v>0.93</v>
      </c>
      <c r="F9" s="358">
        <f t="shared" ref="F9:G9" si="0">IF(F7&lt;$E$8,F7,$E$8)</f>
        <v>2.77</v>
      </c>
      <c r="G9" s="359">
        <f t="shared" si="0"/>
        <v>3</v>
      </c>
      <c r="H9" s="358">
        <f>IF(H7&lt;$H$8,H7,$H$8)</f>
        <v>1.395</v>
      </c>
      <c r="I9" s="358">
        <f t="shared" ref="I9:J9" si="1">IF(I7&lt;$H$8,I7,$H$8)</f>
        <v>4.1550000000000002</v>
      </c>
      <c r="J9" s="358">
        <f t="shared" si="1"/>
        <v>5</v>
      </c>
      <c r="K9" s="360">
        <f>IF(K7&lt;$K$8,K7,$K$8)</f>
        <v>1.86</v>
      </c>
      <c r="L9" s="358">
        <f t="shared" ref="L9:M9" si="2">IF(L7&lt;$K$8,L7,$K$8)</f>
        <v>5.54</v>
      </c>
      <c r="M9" s="361">
        <f t="shared" si="2"/>
        <v>7</v>
      </c>
    </row>
    <row r="10" spans="1:26" ht="18" customHeight="1" x14ac:dyDescent="0.25">
      <c r="A10" s="45"/>
      <c r="B10" s="567" t="s">
        <v>313</v>
      </c>
      <c r="C10" s="327" t="s">
        <v>324</v>
      </c>
      <c r="D10" s="252" t="s">
        <v>311</v>
      </c>
      <c r="E10" s="569">
        <v>1</v>
      </c>
      <c r="F10" s="570"/>
      <c r="G10" s="571"/>
      <c r="H10" s="569">
        <v>1.5</v>
      </c>
      <c r="I10" s="570"/>
      <c r="J10" s="571"/>
      <c r="K10" s="569">
        <v>2.5</v>
      </c>
      <c r="L10" s="570"/>
      <c r="M10" s="572"/>
    </row>
    <row r="11" spans="1:26" ht="18" customHeight="1" x14ac:dyDescent="0.25">
      <c r="A11" s="45"/>
      <c r="B11" s="567"/>
      <c r="C11" s="328" t="s">
        <v>314</v>
      </c>
      <c r="D11" s="252" t="s">
        <v>311</v>
      </c>
      <c r="E11" s="573" t="s">
        <v>315</v>
      </c>
      <c r="F11" s="574"/>
      <c r="G11" s="575"/>
      <c r="H11" s="573" t="s">
        <v>315</v>
      </c>
      <c r="I11" s="574"/>
      <c r="J11" s="575"/>
      <c r="K11" s="573" t="s">
        <v>326</v>
      </c>
      <c r="L11" s="574"/>
      <c r="M11" s="576"/>
    </row>
    <row r="12" spans="1:26" ht="18" customHeight="1" x14ac:dyDescent="0.25">
      <c r="A12" s="9"/>
      <c r="B12" s="567"/>
      <c r="C12" s="313" t="s">
        <v>276</v>
      </c>
      <c r="D12" s="269" t="s">
        <v>319</v>
      </c>
      <c r="E12" s="577">
        <v>14.9</v>
      </c>
      <c r="F12" s="578"/>
      <c r="G12" s="551"/>
      <c r="H12" s="577">
        <v>15.9</v>
      </c>
      <c r="I12" s="578"/>
      <c r="J12" s="551"/>
      <c r="K12" s="577">
        <v>19</v>
      </c>
      <c r="L12" s="578"/>
      <c r="M12" s="552"/>
    </row>
    <row r="13" spans="1:26" ht="18" customHeight="1" x14ac:dyDescent="0.25">
      <c r="A13" s="9"/>
      <c r="B13" s="567"/>
      <c r="C13" s="313" t="s">
        <v>277</v>
      </c>
      <c r="D13" s="266" t="s">
        <v>320</v>
      </c>
      <c r="E13" s="594">
        <v>13</v>
      </c>
      <c r="F13" s="595"/>
      <c r="G13" s="596"/>
      <c r="H13" s="594">
        <v>22</v>
      </c>
      <c r="I13" s="595"/>
      <c r="J13" s="596"/>
      <c r="K13" s="597">
        <v>35</v>
      </c>
      <c r="L13" s="598"/>
      <c r="M13" s="599"/>
    </row>
    <row r="14" spans="1:26" ht="18" customHeight="1" x14ac:dyDescent="0.35">
      <c r="A14" s="9"/>
      <c r="B14" s="567"/>
      <c r="C14" s="305" t="s">
        <v>291</v>
      </c>
      <c r="D14" s="267" t="s">
        <v>318</v>
      </c>
      <c r="E14" s="566">
        <f>E12*E13*100/1000</f>
        <v>19.37</v>
      </c>
      <c r="F14" s="538"/>
      <c r="G14" s="539"/>
      <c r="H14" s="566">
        <f t="shared" ref="H14:K14" si="3">H12*H13*100/1000</f>
        <v>34.979999999999997</v>
      </c>
      <c r="I14" s="538"/>
      <c r="J14" s="539"/>
      <c r="K14" s="566">
        <f t="shared" si="3"/>
        <v>66.5</v>
      </c>
      <c r="L14" s="538"/>
      <c r="M14" s="540"/>
    </row>
    <row r="15" spans="1:26" ht="18" customHeight="1" x14ac:dyDescent="0.25">
      <c r="A15" s="9"/>
      <c r="B15" s="567"/>
      <c r="C15" s="314" t="s">
        <v>293</v>
      </c>
      <c r="D15" s="268" t="s">
        <v>19</v>
      </c>
      <c r="E15" s="579">
        <v>0.65</v>
      </c>
      <c r="F15" s="580"/>
      <c r="G15" s="581"/>
      <c r="H15" s="579">
        <v>0.7</v>
      </c>
      <c r="I15" s="580"/>
      <c r="J15" s="580"/>
      <c r="K15" s="579">
        <v>0.7</v>
      </c>
      <c r="L15" s="580"/>
      <c r="M15" s="582"/>
    </row>
    <row r="16" spans="1:26" s="261" customFormat="1" ht="18" customHeight="1" x14ac:dyDescent="0.25">
      <c r="A16" s="9"/>
      <c r="B16" s="567"/>
      <c r="C16" s="313" t="s">
        <v>278</v>
      </c>
      <c r="D16" s="266" t="s">
        <v>320</v>
      </c>
      <c r="E16" s="561">
        <f>E13*$E15</f>
        <v>8.4500000000000011</v>
      </c>
      <c r="F16" s="550"/>
      <c r="G16" s="551"/>
      <c r="H16" s="561">
        <f>H13*$H15</f>
        <v>15.399999999999999</v>
      </c>
      <c r="I16" s="550"/>
      <c r="J16" s="551"/>
      <c r="K16" s="561">
        <f>K13*$K15</f>
        <v>24.5</v>
      </c>
      <c r="L16" s="550"/>
      <c r="M16" s="552"/>
    </row>
    <row r="17" spans="1:13" s="261" customFormat="1" ht="18" customHeight="1" x14ac:dyDescent="0.25">
      <c r="A17" s="9"/>
      <c r="B17" s="567"/>
      <c r="C17" s="313" t="s">
        <v>296</v>
      </c>
      <c r="D17" s="266" t="s">
        <v>322</v>
      </c>
      <c r="E17" s="561">
        <f>((E16*100*9.27)/20659)*(290/500)</f>
        <v>0.21991514594123626</v>
      </c>
      <c r="F17" s="550"/>
      <c r="G17" s="551"/>
      <c r="H17" s="561">
        <f>((H16*100*9.27)/20659)*(290/500)</f>
        <v>0.40079210029527074</v>
      </c>
      <c r="I17" s="550"/>
      <c r="J17" s="551"/>
      <c r="K17" s="561">
        <f>((K16*100*9.276)/20659)*(290/500)</f>
        <v>0.63803649741032964</v>
      </c>
      <c r="L17" s="578"/>
      <c r="M17" s="552"/>
    </row>
    <row r="18" spans="1:13" s="261" customFormat="1" ht="18" customHeight="1" x14ac:dyDescent="0.25">
      <c r="A18" s="9"/>
      <c r="B18" s="567"/>
      <c r="C18" s="313" t="s">
        <v>279</v>
      </c>
      <c r="D18" s="269" t="s">
        <v>319</v>
      </c>
      <c r="E18" s="577">
        <v>30</v>
      </c>
      <c r="F18" s="550"/>
      <c r="G18" s="551"/>
      <c r="H18" s="577">
        <v>33</v>
      </c>
      <c r="I18" s="550"/>
      <c r="J18" s="551"/>
      <c r="K18" s="577">
        <v>33</v>
      </c>
      <c r="L18" s="550"/>
      <c r="M18" s="552"/>
    </row>
    <row r="19" spans="1:13" s="261" customFormat="1" ht="18" customHeight="1" x14ac:dyDescent="0.25">
      <c r="A19" s="9"/>
      <c r="B19" s="567"/>
      <c r="C19" s="315" t="s">
        <v>294</v>
      </c>
      <c r="D19" s="266" t="s">
        <v>318</v>
      </c>
      <c r="E19" s="562">
        <f>E16*E18*100/1000</f>
        <v>25.350000000000005</v>
      </c>
      <c r="F19" s="550"/>
      <c r="G19" s="551"/>
      <c r="H19" s="562">
        <f>H16*H18*100/1000</f>
        <v>50.819999999999993</v>
      </c>
      <c r="I19" s="550"/>
      <c r="J19" s="551"/>
      <c r="K19" s="562">
        <f>K16*K18*100/1000</f>
        <v>80.849999999999994</v>
      </c>
      <c r="L19" s="550"/>
      <c r="M19" s="552"/>
    </row>
    <row r="20" spans="1:13" s="261" customFormat="1" ht="18" customHeight="1" x14ac:dyDescent="0.25">
      <c r="A20" s="9"/>
      <c r="B20" s="567"/>
      <c r="C20" s="316" t="s">
        <v>458</v>
      </c>
      <c r="D20" s="266" t="s">
        <v>19</v>
      </c>
      <c r="E20" s="563">
        <v>6.5000000000000002E-2</v>
      </c>
      <c r="F20" s="564"/>
      <c r="G20" s="564"/>
      <c r="H20" s="564"/>
      <c r="I20" s="564"/>
      <c r="J20" s="564"/>
      <c r="K20" s="564"/>
      <c r="L20" s="564"/>
      <c r="M20" s="565"/>
    </row>
    <row r="21" spans="1:13" s="261" customFormat="1" ht="18" customHeight="1" x14ac:dyDescent="0.25">
      <c r="A21" s="9"/>
      <c r="B21" s="567"/>
      <c r="C21" s="305" t="s">
        <v>280</v>
      </c>
      <c r="D21" s="267" t="s">
        <v>318</v>
      </c>
      <c r="E21" s="537">
        <f>E19*$E20</f>
        <v>1.6477500000000003</v>
      </c>
      <c r="F21" s="538"/>
      <c r="G21" s="539"/>
      <c r="H21" s="537">
        <f t="shared" ref="H21:K21" si="4">H19*$E20</f>
        <v>3.3032999999999997</v>
      </c>
      <c r="I21" s="538"/>
      <c r="J21" s="539"/>
      <c r="K21" s="537">
        <f t="shared" si="4"/>
        <v>5.2552500000000002</v>
      </c>
      <c r="L21" s="538"/>
      <c r="M21" s="540"/>
    </row>
    <row r="22" spans="1:13" s="261" customFormat="1" ht="18" customHeight="1" x14ac:dyDescent="0.25">
      <c r="A22" s="9"/>
      <c r="B22" s="567"/>
      <c r="C22" s="314" t="s">
        <v>459</v>
      </c>
      <c r="D22" s="268" t="s">
        <v>19</v>
      </c>
      <c r="E22" s="545">
        <v>0.67</v>
      </c>
      <c r="F22" s="546"/>
      <c r="G22" s="546"/>
      <c r="H22" s="546"/>
      <c r="I22" s="546"/>
      <c r="J22" s="546"/>
      <c r="K22" s="546"/>
      <c r="L22" s="546"/>
      <c r="M22" s="547"/>
    </row>
    <row r="23" spans="1:13" s="261" customFormat="1" ht="18" customHeight="1" x14ac:dyDescent="0.25">
      <c r="A23" s="9"/>
      <c r="B23" s="567"/>
      <c r="C23" s="315" t="s">
        <v>295</v>
      </c>
      <c r="D23" s="266" t="s">
        <v>318</v>
      </c>
      <c r="E23" s="562">
        <f t="shared" ref="E23:K23" si="5">(E19-E21)*$E22</f>
        <v>15.880507500000006</v>
      </c>
      <c r="F23" s="550"/>
      <c r="G23" s="551"/>
      <c r="H23" s="562">
        <f t="shared" si="5"/>
        <v>31.836188999999997</v>
      </c>
      <c r="I23" s="550"/>
      <c r="J23" s="551"/>
      <c r="K23" s="562">
        <f t="shared" si="5"/>
        <v>50.6484825</v>
      </c>
      <c r="L23" s="550"/>
      <c r="M23" s="552"/>
    </row>
    <row r="24" spans="1:13" s="261" customFormat="1" ht="18" customHeight="1" x14ac:dyDescent="0.25">
      <c r="A24" s="9"/>
      <c r="B24" s="567"/>
      <c r="C24" s="305" t="s">
        <v>289</v>
      </c>
      <c r="D24" s="267" t="s">
        <v>318</v>
      </c>
      <c r="E24" s="537">
        <f>E21+E23</f>
        <v>17.528257500000006</v>
      </c>
      <c r="F24" s="538"/>
      <c r="G24" s="539"/>
      <c r="H24" s="537">
        <f t="shared" ref="H24:K24" si="6">H21+H23</f>
        <v>35.139488999999998</v>
      </c>
      <c r="I24" s="538"/>
      <c r="J24" s="539"/>
      <c r="K24" s="537">
        <f t="shared" si="6"/>
        <v>55.903732500000004</v>
      </c>
      <c r="L24" s="538"/>
      <c r="M24" s="540"/>
    </row>
    <row r="25" spans="1:13" s="261" customFormat="1" ht="18" customHeight="1" x14ac:dyDescent="0.25">
      <c r="A25" s="9"/>
      <c r="B25" s="567"/>
      <c r="C25" s="317" t="s">
        <v>281</v>
      </c>
      <c r="D25" s="252" t="s">
        <v>308</v>
      </c>
      <c r="E25" s="553"/>
      <c r="F25" s="554"/>
      <c r="G25" s="555"/>
      <c r="H25" s="553"/>
      <c r="I25" s="554"/>
      <c r="J25" s="555"/>
      <c r="K25" s="553"/>
      <c r="L25" s="554"/>
      <c r="M25" s="556"/>
    </row>
    <row r="26" spans="1:13" s="261" customFormat="1" ht="18" customHeight="1" x14ac:dyDescent="0.25">
      <c r="A26" s="9"/>
      <c r="B26" s="567"/>
      <c r="C26" s="255" t="s">
        <v>297</v>
      </c>
      <c r="D26" s="252" t="s">
        <v>309</v>
      </c>
      <c r="E26" s="557">
        <v>0.8</v>
      </c>
      <c r="F26" s="558"/>
      <c r="G26" s="559"/>
      <c r="H26" s="557">
        <v>0.8</v>
      </c>
      <c r="I26" s="558"/>
      <c r="J26" s="559"/>
      <c r="K26" s="557">
        <v>0.8</v>
      </c>
      <c r="L26" s="558"/>
      <c r="M26" s="560"/>
    </row>
    <row r="27" spans="1:13" s="261" customFormat="1" ht="18" customHeight="1" x14ac:dyDescent="0.25">
      <c r="A27" s="9"/>
      <c r="B27" s="567"/>
      <c r="C27" s="255" t="s">
        <v>298</v>
      </c>
      <c r="D27" s="252" t="s">
        <v>309</v>
      </c>
      <c r="E27" s="549">
        <v>0.2</v>
      </c>
      <c r="F27" s="550"/>
      <c r="G27" s="551"/>
      <c r="H27" s="549">
        <v>0.2</v>
      </c>
      <c r="I27" s="550"/>
      <c r="J27" s="551"/>
      <c r="K27" s="549">
        <v>0.2</v>
      </c>
      <c r="L27" s="550"/>
      <c r="M27" s="552"/>
    </row>
    <row r="28" spans="1:13" s="261" customFormat="1" ht="18" customHeight="1" x14ac:dyDescent="0.25">
      <c r="A28" s="9"/>
      <c r="B28" s="567"/>
      <c r="C28" s="255" t="s">
        <v>299</v>
      </c>
      <c r="D28" s="252" t="s">
        <v>309</v>
      </c>
      <c r="E28" s="549">
        <v>0</v>
      </c>
      <c r="F28" s="550"/>
      <c r="G28" s="551"/>
      <c r="H28" s="549">
        <v>0</v>
      </c>
      <c r="I28" s="550"/>
      <c r="J28" s="551"/>
      <c r="K28" s="549">
        <v>0</v>
      </c>
      <c r="L28" s="550"/>
      <c r="M28" s="552"/>
    </row>
    <row r="29" spans="1:13" s="261" customFormat="1" ht="18" customHeight="1" x14ac:dyDescent="0.35">
      <c r="A29" s="9"/>
      <c r="B29" s="568"/>
      <c r="C29" s="256" t="s">
        <v>290</v>
      </c>
      <c r="D29" s="267" t="s">
        <v>318</v>
      </c>
      <c r="E29" s="537">
        <f>E14*E26+E21*E27+E24*E28</f>
        <v>15.825550000000002</v>
      </c>
      <c r="F29" s="538"/>
      <c r="G29" s="539"/>
      <c r="H29" s="537">
        <f t="shared" ref="H29:K29" si="7">H14*H26+H21*H27+H24*H28</f>
        <v>28.644659999999998</v>
      </c>
      <c r="I29" s="538"/>
      <c r="J29" s="539"/>
      <c r="K29" s="537">
        <f t="shared" si="7"/>
        <v>54.251050000000006</v>
      </c>
      <c r="L29" s="538"/>
      <c r="M29" s="540"/>
    </row>
    <row r="30" spans="1:13" s="261" customFormat="1" ht="18" customHeight="1" x14ac:dyDescent="0.25">
      <c r="A30" s="45"/>
      <c r="B30" s="541" t="s">
        <v>312</v>
      </c>
      <c r="C30" s="295" t="s">
        <v>460</v>
      </c>
      <c r="D30" s="279" t="s">
        <v>19</v>
      </c>
      <c r="E30" s="545">
        <v>0.06</v>
      </c>
      <c r="F30" s="546"/>
      <c r="G30" s="546"/>
      <c r="H30" s="546"/>
      <c r="I30" s="546"/>
      <c r="J30" s="546"/>
      <c r="K30" s="546"/>
      <c r="L30" s="546"/>
      <c r="M30" s="547"/>
    </row>
    <row r="31" spans="1:13" s="261" customFormat="1" ht="18" customHeight="1" x14ac:dyDescent="0.25">
      <c r="A31" s="270"/>
      <c r="B31" s="542"/>
      <c r="C31" s="302" t="s">
        <v>282</v>
      </c>
      <c r="D31" s="330" t="s">
        <v>318</v>
      </c>
      <c r="E31" s="524">
        <f>(E19-E21)*($E30)</f>
        <v>1.4221350000000004</v>
      </c>
      <c r="F31" s="525"/>
      <c r="G31" s="526"/>
      <c r="H31" s="524">
        <f>(H19-H21)*($E30)</f>
        <v>2.8510019999999994</v>
      </c>
      <c r="I31" s="525"/>
      <c r="J31" s="526"/>
      <c r="K31" s="524">
        <f t="shared" ref="K31" si="8">(K19-K21)*($E30)</f>
        <v>4.5356849999999991</v>
      </c>
      <c r="L31" s="525"/>
      <c r="M31" s="530"/>
    </row>
    <row r="32" spans="1:13" s="261" customFormat="1" ht="18" customHeight="1" x14ac:dyDescent="0.25">
      <c r="A32" s="270"/>
      <c r="B32" s="542"/>
      <c r="C32" s="302" t="s">
        <v>283</v>
      </c>
      <c r="D32" s="331" t="s">
        <v>318</v>
      </c>
      <c r="E32" s="517">
        <f>(E19-E21-E23)*($E30)</f>
        <v>0.46930455000000004</v>
      </c>
      <c r="F32" s="518"/>
      <c r="G32" s="520"/>
      <c r="H32" s="517">
        <f t="shared" ref="H32:K32" si="9">(H19-H21-H23)*($E30)</f>
        <v>0.94083065999999971</v>
      </c>
      <c r="I32" s="518"/>
      <c r="J32" s="520"/>
      <c r="K32" s="517">
        <f t="shared" si="9"/>
        <v>1.4967760499999994</v>
      </c>
      <c r="L32" s="518"/>
      <c r="M32" s="519"/>
    </row>
    <row r="33" spans="1:13" s="261" customFormat="1" ht="18" customHeight="1" x14ac:dyDescent="0.25">
      <c r="A33" s="270"/>
      <c r="B33" s="542"/>
      <c r="C33" s="302" t="s">
        <v>284</v>
      </c>
      <c r="D33" s="331" t="s">
        <v>318</v>
      </c>
      <c r="E33" s="517">
        <f>E31*(E27)+E32*(E28)</f>
        <v>0.2844270000000001</v>
      </c>
      <c r="F33" s="518"/>
      <c r="G33" s="520"/>
      <c r="H33" s="517">
        <f t="shared" ref="H33:K33" si="10">H31*(H27)+H32*(H28)</f>
        <v>0.57020039999999994</v>
      </c>
      <c r="I33" s="518"/>
      <c r="J33" s="520"/>
      <c r="K33" s="517">
        <f t="shared" si="10"/>
        <v>0.90713699999999986</v>
      </c>
      <c r="L33" s="518"/>
      <c r="M33" s="519"/>
    </row>
    <row r="34" spans="1:13" s="261" customFormat="1" ht="18" customHeight="1" x14ac:dyDescent="0.25">
      <c r="A34" s="270"/>
      <c r="B34" s="542"/>
      <c r="C34" s="321" t="s">
        <v>461</v>
      </c>
      <c r="D34" s="332" t="s">
        <v>19</v>
      </c>
      <c r="E34" s="521">
        <v>0.2</v>
      </c>
      <c r="F34" s="522"/>
      <c r="G34" s="522"/>
      <c r="H34" s="522"/>
      <c r="I34" s="522"/>
      <c r="J34" s="522"/>
      <c r="K34" s="522"/>
      <c r="L34" s="522"/>
      <c r="M34" s="523"/>
    </row>
    <row r="35" spans="1:13" s="261" customFormat="1" ht="18" customHeight="1" x14ac:dyDescent="0.25">
      <c r="A35" s="270"/>
      <c r="B35" s="542"/>
      <c r="C35" s="280" t="s">
        <v>285</v>
      </c>
      <c r="D35" s="267" t="s">
        <v>318</v>
      </c>
      <c r="E35" s="524">
        <f>E$41*($E34)</f>
        <v>1</v>
      </c>
      <c r="F35" s="525"/>
      <c r="G35" s="526"/>
      <c r="H35" s="527">
        <f t="shared" ref="H35:K35" si="11">H$41*($E34)</f>
        <v>2</v>
      </c>
      <c r="I35" s="528"/>
      <c r="J35" s="529"/>
      <c r="K35" s="524">
        <f t="shared" si="11"/>
        <v>6</v>
      </c>
      <c r="L35" s="525"/>
      <c r="M35" s="530"/>
    </row>
    <row r="36" spans="1:13" s="261" customFormat="1" ht="18" customHeight="1" x14ac:dyDescent="0.25">
      <c r="A36" s="270"/>
      <c r="B36" s="543"/>
      <c r="C36" s="310" t="s">
        <v>462</v>
      </c>
      <c r="D36" s="271" t="s">
        <v>19</v>
      </c>
      <c r="E36" s="521">
        <v>0.3</v>
      </c>
      <c r="F36" s="522"/>
      <c r="G36" s="522"/>
      <c r="H36" s="522"/>
      <c r="I36" s="522"/>
      <c r="J36" s="522"/>
      <c r="K36" s="522"/>
      <c r="L36" s="522"/>
      <c r="M36" s="523"/>
    </row>
    <row r="37" spans="1:13" s="261" customFormat="1" ht="18" customHeight="1" x14ac:dyDescent="0.25">
      <c r="A37" s="270"/>
      <c r="B37" s="544"/>
      <c r="C37" s="257" t="s">
        <v>286</v>
      </c>
      <c r="D37" s="267" t="s">
        <v>318</v>
      </c>
      <c r="E37" s="534">
        <f>E23*$E36</f>
        <v>4.7641522500000013</v>
      </c>
      <c r="F37" s="535"/>
      <c r="G37" s="536"/>
      <c r="H37" s="534">
        <f>H23*$E36</f>
        <v>9.5508566999999989</v>
      </c>
      <c r="I37" s="535"/>
      <c r="J37" s="536"/>
      <c r="K37" s="534">
        <f>K23*$E36</f>
        <v>15.194544749999999</v>
      </c>
      <c r="L37" s="535"/>
      <c r="M37" s="548"/>
    </row>
    <row r="38" spans="1:13" s="261" customFormat="1" ht="18" customHeight="1" x14ac:dyDescent="0.25">
      <c r="A38" s="9"/>
      <c r="B38" s="506" t="s">
        <v>271</v>
      </c>
      <c r="C38" s="322" t="s">
        <v>287</v>
      </c>
      <c r="D38" s="252" t="s">
        <v>0</v>
      </c>
      <c r="E38" s="286">
        <v>0.23</v>
      </c>
      <c r="F38" s="253">
        <v>0.33</v>
      </c>
      <c r="G38" s="254">
        <v>0.33</v>
      </c>
      <c r="H38" s="286">
        <v>0.23</v>
      </c>
      <c r="I38" s="253">
        <v>0.33</v>
      </c>
      <c r="J38" s="254">
        <v>0.33</v>
      </c>
      <c r="K38" s="286">
        <v>0.23</v>
      </c>
      <c r="L38" s="253">
        <v>0.33</v>
      </c>
      <c r="M38" s="338">
        <v>0.33</v>
      </c>
    </row>
    <row r="39" spans="1:13" s="261" customFormat="1" ht="18" customHeight="1" x14ac:dyDescent="0.25">
      <c r="A39" s="272"/>
      <c r="B39" s="507"/>
      <c r="C39" s="288" t="s">
        <v>271</v>
      </c>
      <c r="D39" s="267" t="s">
        <v>318</v>
      </c>
      <c r="E39" s="137">
        <f t="shared" ref="E39:M39" si="12">E9*(E38/(1-E38))</f>
        <v>0.27779220779220781</v>
      </c>
      <c r="F39" s="281">
        <f t="shared" si="12"/>
        <v>1.3643283582089554</v>
      </c>
      <c r="G39" s="126">
        <f t="shared" si="12"/>
        <v>1.4776119402985077</v>
      </c>
      <c r="H39" s="281">
        <f t="shared" si="12"/>
        <v>0.41668831168831166</v>
      </c>
      <c r="I39" s="281">
        <f t="shared" si="12"/>
        <v>2.0464925373134335</v>
      </c>
      <c r="J39" s="126">
        <f t="shared" si="12"/>
        <v>2.4626865671641793</v>
      </c>
      <c r="K39" s="281">
        <f t="shared" si="12"/>
        <v>0.55558441558441563</v>
      </c>
      <c r="L39" s="281">
        <f t="shared" si="12"/>
        <v>2.7286567164179107</v>
      </c>
      <c r="M39" s="127">
        <f t="shared" si="12"/>
        <v>3.4477611940298516</v>
      </c>
    </row>
    <row r="40" spans="1:13" s="261" customFormat="1" ht="18" customHeight="1" x14ac:dyDescent="0.25">
      <c r="A40" s="272"/>
      <c r="B40" s="326" t="s">
        <v>272</v>
      </c>
      <c r="C40" s="289" t="s">
        <v>272</v>
      </c>
      <c r="D40" s="267" t="s">
        <v>318</v>
      </c>
      <c r="E40" s="287">
        <v>0.2</v>
      </c>
      <c r="F40" s="283">
        <v>0.2</v>
      </c>
      <c r="G40" s="284">
        <v>0.2</v>
      </c>
      <c r="H40" s="287">
        <v>0.2</v>
      </c>
      <c r="I40" s="283">
        <v>0.2</v>
      </c>
      <c r="J40" s="284">
        <v>0.2</v>
      </c>
      <c r="K40" s="287">
        <v>0.2</v>
      </c>
      <c r="L40" s="283">
        <v>0.2</v>
      </c>
      <c r="M40" s="285">
        <v>0.2</v>
      </c>
    </row>
    <row r="41" spans="1:13" s="261" customFormat="1" ht="18" customHeight="1" x14ac:dyDescent="0.25">
      <c r="A41" s="9"/>
      <c r="B41" s="506" t="s">
        <v>35</v>
      </c>
      <c r="C41" s="323" t="s">
        <v>305</v>
      </c>
      <c r="D41" s="333" t="s">
        <v>318</v>
      </c>
      <c r="E41" s="510">
        <v>5</v>
      </c>
      <c r="F41" s="511"/>
      <c r="G41" s="512"/>
      <c r="H41" s="510">
        <v>10</v>
      </c>
      <c r="I41" s="511"/>
      <c r="J41" s="512"/>
      <c r="K41" s="510">
        <v>30</v>
      </c>
      <c r="L41" s="511"/>
      <c r="M41" s="513"/>
    </row>
    <row r="42" spans="1:13" s="261" customFormat="1" ht="18" customHeight="1" x14ac:dyDescent="0.25">
      <c r="A42" s="9"/>
      <c r="B42" s="508"/>
      <c r="C42" s="304" t="s">
        <v>288</v>
      </c>
      <c r="D42" s="334" t="s">
        <v>19</v>
      </c>
      <c r="E42" s="514">
        <v>7.5</v>
      </c>
      <c r="F42" s="515"/>
      <c r="G42" s="516"/>
      <c r="H42" s="531">
        <v>15</v>
      </c>
      <c r="I42" s="515"/>
      <c r="J42" s="516"/>
      <c r="K42" s="531">
        <v>12.5</v>
      </c>
      <c r="L42" s="515"/>
      <c r="M42" s="532"/>
    </row>
    <row r="43" spans="1:13" s="261" customFormat="1" ht="18" customHeight="1" x14ac:dyDescent="0.25">
      <c r="A43" s="9"/>
      <c r="B43" s="508"/>
      <c r="C43" s="324" t="s">
        <v>307</v>
      </c>
      <c r="D43" s="330" t="s">
        <v>318</v>
      </c>
      <c r="E43" s="524">
        <f t="shared" ref="E43:K43" si="13">(4*E13*(E42/100))</f>
        <v>3.9</v>
      </c>
      <c r="F43" s="525"/>
      <c r="G43" s="526"/>
      <c r="H43" s="524">
        <f t="shared" si="13"/>
        <v>13.2</v>
      </c>
      <c r="I43" s="525"/>
      <c r="J43" s="526"/>
      <c r="K43" s="524">
        <f t="shared" si="13"/>
        <v>17.5</v>
      </c>
      <c r="L43" s="525"/>
      <c r="M43" s="530"/>
    </row>
    <row r="44" spans="1:13" s="261" customFormat="1" ht="18" customHeight="1" x14ac:dyDescent="0.25">
      <c r="A44" s="9"/>
      <c r="B44" s="508"/>
      <c r="C44" s="290" t="s">
        <v>306</v>
      </c>
      <c r="D44" s="331" t="s">
        <v>318</v>
      </c>
      <c r="E44" s="533">
        <v>0</v>
      </c>
      <c r="F44" s="518"/>
      <c r="G44" s="520"/>
      <c r="H44" s="533">
        <v>0</v>
      </c>
      <c r="I44" s="518"/>
      <c r="J44" s="520"/>
      <c r="K44" s="533">
        <v>0</v>
      </c>
      <c r="L44" s="518"/>
      <c r="M44" s="519"/>
    </row>
    <row r="45" spans="1:13" s="261" customFormat="1" ht="18" customHeight="1" x14ac:dyDescent="0.25">
      <c r="A45" s="9"/>
      <c r="B45" s="508"/>
      <c r="C45" s="290" t="s">
        <v>38</v>
      </c>
      <c r="D45" s="331" t="s">
        <v>318</v>
      </c>
      <c r="E45" s="497">
        <v>0</v>
      </c>
      <c r="F45" s="498"/>
      <c r="G45" s="499"/>
      <c r="H45" s="500">
        <v>0</v>
      </c>
      <c r="I45" s="498"/>
      <c r="J45" s="499"/>
      <c r="K45" s="500">
        <v>0</v>
      </c>
      <c r="L45" s="498"/>
      <c r="M45" s="501"/>
    </row>
    <row r="46" spans="1:13" s="261" customFormat="1" ht="18" customHeight="1" thickBot="1" x14ac:dyDescent="0.3">
      <c r="A46" s="45"/>
      <c r="B46" s="509"/>
      <c r="C46" s="294" t="s">
        <v>273</v>
      </c>
      <c r="D46" s="335" t="s">
        <v>318</v>
      </c>
      <c r="E46" s="502">
        <f t="shared" ref="E46:K46" si="14">E41+E43+E44+E45</f>
        <v>8.9</v>
      </c>
      <c r="F46" s="503"/>
      <c r="G46" s="504"/>
      <c r="H46" s="502">
        <f t="shared" si="14"/>
        <v>23.2</v>
      </c>
      <c r="I46" s="503"/>
      <c r="J46" s="504"/>
      <c r="K46" s="502">
        <f t="shared" si="14"/>
        <v>47.5</v>
      </c>
      <c r="L46" s="503"/>
      <c r="M46" s="505"/>
    </row>
    <row r="47" spans="1:13" s="261" customFormat="1" ht="18" customHeight="1" thickBot="1" x14ac:dyDescent="0.3">
      <c r="A47" s="45"/>
      <c r="B47" s="296"/>
      <c r="C47" s="297"/>
      <c r="D47" s="282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s="273" customFormat="1" ht="18" customHeight="1" thickBot="1" x14ac:dyDescent="0.3">
      <c r="A48" s="259"/>
      <c r="B48" s="299" t="s">
        <v>264</v>
      </c>
      <c r="C48" s="291" t="s">
        <v>300</v>
      </c>
      <c r="D48" s="336" t="s">
        <v>318</v>
      </c>
      <c r="E48" s="275">
        <f>(E9+E39+E40)-(E43+E44+E45)</f>
        <v>-2.4922077922077923</v>
      </c>
      <c r="F48" s="274">
        <f>(F9+F39+F40)-(E43-E44-E45)</f>
        <v>0.4343283582089561</v>
      </c>
      <c r="G48" s="276">
        <f>(G9+G39+G40)-(E43-E44-E45)</f>
        <v>0.77761194029850822</v>
      </c>
      <c r="H48" s="275">
        <f>(H9+H39+H40)-(H43+H44+H45)</f>
        <v>-11.188311688311687</v>
      </c>
      <c r="I48" s="274">
        <f>(I9+I39+I40)-(H43-H44-H45)</f>
        <v>-6.7985074626865654</v>
      </c>
      <c r="J48" s="276">
        <f>(J9+J39+J40)-(H43-H44-H45)</f>
        <v>-5.5373134328358198</v>
      </c>
      <c r="K48" s="275">
        <f>(K9+K39+K40)-(K43+K44+K45)</f>
        <v>-14.884415584415585</v>
      </c>
      <c r="L48" s="274">
        <f>(L9+L39+L40)-(K43-K44-K45)</f>
        <v>-9.031343283582089</v>
      </c>
      <c r="M48" s="276">
        <f>(M9+M39+M40)-(K43-K44-K45)</f>
        <v>-6.8522388059701491</v>
      </c>
    </row>
    <row r="49" spans="1:13" s="261" customFormat="1" ht="18" customHeight="1" x14ac:dyDescent="0.25">
      <c r="A49" s="45"/>
      <c r="B49" s="300" t="s">
        <v>266</v>
      </c>
      <c r="C49" s="292" t="s">
        <v>304</v>
      </c>
      <c r="D49" s="343" t="s">
        <v>318</v>
      </c>
      <c r="E49" s="234">
        <f>(E9+E14+E39+E40)-(E43+E44+E45)</f>
        <v>16.877792207792208</v>
      </c>
      <c r="F49" s="233">
        <f>(F9+E14+F39+F40)-(E43+E44+E45)</f>
        <v>19.804328358208956</v>
      </c>
      <c r="G49" s="235">
        <f>(G9+E14+G39+G40)-(E43+E44+E45)</f>
        <v>20.147611940298511</v>
      </c>
      <c r="H49" s="234">
        <f>(H9+H14+H39+H40)-(H43+H44+H45)</f>
        <v>23.791688311688315</v>
      </c>
      <c r="I49" s="233">
        <f>(I9+H14+I39+I40)-(H43+H44+H45)</f>
        <v>28.181492537313435</v>
      </c>
      <c r="J49" s="235">
        <f>(J9+H14+J39+J40)-(H43+H44+H45)</f>
        <v>29.442686567164177</v>
      </c>
      <c r="K49" s="234">
        <f>(K9+K14+K39+K40)-(K43+K44+K45)</f>
        <v>51.615584415584422</v>
      </c>
      <c r="L49" s="233">
        <f>(L9+K14+L39+L40)-(K43+K44+K45)</f>
        <v>57.468656716417925</v>
      </c>
      <c r="M49" s="251">
        <f>(M9+K14+M39+M40)-(K43+K44+K45)</f>
        <v>59.647761194029854</v>
      </c>
    </row>
    <row r="50" spans="1:13" s="273" customFormat="1" ht="18" customHeight="1" thickBot="1" x14ac:dyDescent="0.3">
      <c r="A50" s="259"/>
      <c r="B50" s="344" t="s">
        <v>267</v>
      </c>
      <c r="C50" s="345" t="s">
        <v>301</v>
      </c>
      <c r="D50" s="346" t="s">
        <v>318</v>
      </c>
      <c r="E50" s="339">
        <f>(E9+E14+E39+E40)-((E41-E35)+E43+E44+E45)</f>
        <v>12.877792207792206</v>
      </c>
      <c r="F50" s="340">
        <f>(F9+E14+F39+F40)-((E41-E35)+E43+E44+E45)</f>
        <v>15.804328358208954</v>
      </c>
      <c r="G50" s="341">
        <f>(G9+E14+G39+G40)-((E41-E35)+E43+E44+E45)</f>
        <v>16.147611940298511</v>
      </c>
      <c r="H50" s="339">
        <f t="shared" ref="H50:K50" si="15">(H9+H14+H39+H40)-((H41-H35)+H43+H44+H45)</f>
        <v>15.791688311688315</v>
      </c>
      <c r="I50" s="340">
        <f>(I9+H14+I39+I40)-((H41-H35)+H43+H44+H45)</f>
        <v>20.181492537313435</v>
      </c>
      <c r="J50" s="341">
        <f>(J9+H14+J39+J40)-((H41-H35)+H43+H44+H45)</f>
        <v>21.442686567164177</v>
      </c>
      <c r="K50" s="339">
        <f t="shared" si="15"/>
        <v>27.615584415584422</v>
      </c>
      <c r="L50" s="340">
        <f>(L9+K14+L39+L40)-((K41-K35)+K43+K44+K45)</f>
        <v>33.468656716417925</v>
      </c>
      <c r="M50" s="342">
        <f>(M9+K14+M39+M40)-((K41-K35)+K43+K44+K45)</f>
        <v>35.647761194029854</v>
      </c>
    </row>
    <row r="51" spans="1:13" s="261" customFormat="1" ht="18" customHeight="1" thickBot="1" x14ac:dyDescent="0.3">
      <c r="A51" s="45"/>
      <c r="B51" s="300" t="s">
        <v>268</v>
      </c>
      <c r="C51" s="292" t="s">
        <v>302</v>
      </c>
      <c r="D51" s="336" t="s">
        <v>318</v>
      </c>
      <c r="E51" s="301">
        <f>(E9+$E21+$E31+E39+E40)-($E43+$E44+$E45)</f>
        <v>0.57767720779220921</v>
      </c>
      <c r="F51" s="318">
        <f>(F9+$E21+$E31+F39+F40)-($E43+$E44+$E45)</f>
        <v>3.5042133582089563</v>
      </c>
      <c r="G51" s="319">
        <f>(G9+$E21+$E31+G39+G40)-($E43+$E44+$E45)</f>
        <v>3.8474969402985093</v>
      </c>
      <c r="H51" s="301">
        <f>(H9+$H21+$H31+H39+H40)-($H43+$H44+$H45)</f>
        <v>-5.0340096883116896</v>
      </c>
      <c r="I51" s="318">
        <f>(I9+$H21+$H31+I39+I40)-($H43+$H44+$H45)</f>
        <v>-0.64420546268656764</v>
      </c>
      <c r="J51" s="319">
        <f>(J9+$H21+$H31+J39+J40)-($H43+$H44+$H45)</f>
        <v>0.61698856716417794</v>
      </c>
      <c r="K51" s="301">
        <f>(K9+$K21+$K31+K39+K40)-($K43+$K44+$K45)</f>
        <v>-5.0934805844155839</v>
      </c>
      <c r="L51" s="318">
        <f>(L9+$K21+$K31+L39+L40)-($K43+$K44+$K45)</f>
        <v>0.75959171641790846</v>
      </c>
      <c r="M51" s="325">
        <f>(M9+$K21+$K31+M39+M40)-($K43+$K44+$K45)</f>
        <v>2.9386961940298484</v>
      </c>
    </row>
    <row r="52" spans="1:13" s="277" customFormat="1" ht="18" customHeight="1" thickBot="1" x14ac:dyDescent="0.3">
      <c r="A52" s="258"/>
      <c r="B52" s="300" t="s">
        <v>269</v>
      </c>
      <c r="C52" s="292" t="s">
        <v>303</v>
      </c>
      <c r="D52" s="336" t="s">
        <v>318</v>
      </c>
      <c r="E52" s="301">
        <f>(E9+$E24+$E32+E39+E40)-($E43+$E44+$E45)</f>
        <v>15.505354257792211</v>
      </c>
      <c r="F52" s="318">
        <f>(F9+$E24+$E32+F39+F40)-($E43+$E44+$E45)</f>
        <v>18.431890408208961</v>
      </c>
      <c r="G52" s="319">
        <f>(G9+$E24+$E32+G39+G40)-($E43+$E44+$E45)</f>
        <v>18.775173990298516</v>
      </c>
      <c r="H52" s="301">
        <f>(H9+$H24+$H32+H39+H40+$H35)-($H43+$H44+$H45)</f>
        <v>26.892007971688319</v>
      </c>
      <c r="I52" s="318">
        <f>(I9+$H24+$H32+I39+I40+$H35)-($H43+$H44+$H45)</f>
        <v>31.281812197313439</v>
      </c>
      <c r="J52" s="319">
        <f>(J9+$H24+$H32+J39+J40+$H35)-($H43+$H44+$H45)</f>
        <v>32.543006227164184</v>
      </c>
      <c r="K52" s="301">
        <f>(K9+$K24+$K32+K39+K40+$K35)-($K43+$K44+$K45)</f>
        <v>48.51609296558442</v>
      </c>
      <c r="L52" s="318">
        <f>(L9+$K24+$K32+L39+L40+$K35)-($K43+$K44+$K45)</f>
        <v>54.369165266417923</v>
      </c>
      <c r="M52" s="320">
        <f>(M9+$K24+$K32+M39+M40+$K35)-($K43+$K44+$K45)</f>
        <v>56.548269744029852</v>
      </c>
    </row>
    <row r="53" spans="1:13" s="261" customFormat="1" ht="18" customHeight="1" thickBot="1" x14ac:dyDescent="0.3">
      <c r="A53" s="9"/>
      <c r="B53" s="386" t="s">
        <v>265</v>
      </c>
      <c r="C53" s="387" t="s">
        <v>310</v>
      </c>
      <c r="D53" s="388" t="s">
        <v>318</v>
      </c>
      <c r="E53" s="389">
        <f>(E9+$E29+$E33+E39+E40)-(($E41-$E35)+$E43+$E44+$E45)</f>
        <v>9.6177692077922092</v>
      </c>
      <c r="F53" s="390">
        <f t="shared" ref="F53" si="16">(F9+$E29+$E33+F39+F40)-(($E41-$E35)+$E43+$E44+$E45)</f>
        <v>12.544305358208957</v>
      </c>
      <c r="G53" s="391">
        <f>(G9+$E29+$E33+G39+G40)-((E41-E35)+$E43+$E44+$E45)</f>
        <v>12.887588940298508</v>
      </c>
      <c r="H53" s="389">
        <f>(H9+$H29+$H33+H39+H40)-(($H41-$H35)+$H43+$H44+$H45)</f>
        <v>10.02654871168831</v>
      </c>
      <c r="I53" s="390">
        <f t="shared" ref="I53:J53" si="17">(I9+$H29+$H33+I39+I40)-(($H41-$H35)+$H43+$H44+$H45)</f>
        <v>14.41635293731343</v>
      </c>
      <c r="J53" s="390">
        <f t="shared" si="17"/>
        <v>15.677546967164179</v>
      </c>
      <c r="K53" s="389">
        <f>(K9+$K29+$K33+K39+K40)-(($K41-$K35)+$K43+$K44+$K45)</f>
        <v>16.27377141558442</v>
      </c>
      <c r="L53" s="390">
        <f>(L9+$K29+$K33+L39+L40)-(($K41-$K35)+$K43+$K44+$K45)</f>
        <v>22.126843716417916</v>
      </c>
      <c r="M53" s="392">
        <f t="shared" ref="M53" si="18">(M9+$K29+$K33+M39+M40)-(($K41-$K35)+$K43+$K44+$K45)</f>
        <v>24.305948194029853</v>
      </c>
    </row>
    <row r="54" spans="1:13" s="293" customFormat="1" ht="18" customHeight="1" x14ac:dyDescent="0.25">
      <c r="A54" s="38"/>
      <c r="B54" s="383"/>
      <c r="C54" s="384" t="s">
        <v>275</v>
      </c>
      <c r="D54" s="385" t="s">
        <v>318</v>
      </c>
      <c r="E54" s="490" t="s">
        <v>327</v>
      </c>
      <c r="F54" s="491"/>
      <c r="G54" s="491"/>
      <c r="H54" s="491"/>
      <c r="I54" s="491"/>
      <c r="J54" s="491"/>
      <c r="K54" s="491"/>
      <c r="L54" s="491"/>
      <c r="M54" s="492"/>
    </row>
    <row r="55" spans="1:13" s="261" customFormat="1" ht="18" customHeight="1" x14ac:dyDescent="0.25">
      <c r="A55" s="9"/>
      <c r="B55" s="309"/>
      <c r="C55" s="329" t="s">
        <v>325</v>
      </c>
      <c r="D55" s="337" t="s">
        <v>323</v>
      </c>
      <c r="E55" s="493">
        <v>2</v>
      </c>
      <c r="F55" s="494"/>
      <c r="G55" s="494"/>
      <c r="H55" s="493">
        <v>2.5</v>
      </c>
      <c r="I55" s="494"/>
      <c r="J55" s="495"/>
      <c r="K55" s="496" t="s">
        <v>464</v>
      </c>
      <c r="L55" s="494"/>
      <c r="M55" s="495"/>
    </row>
    <row r="56" spans="1:13" s="261" customFormat="1" x14ac:dyDescent="0.25">
      <c r="A56" s="46"/>
      <c r="B56" s="260"/>
      <c r="C56" s="47"/>
      <c r="D56" s="11"/>
      <c r="E56" s="11"/>
      <c r="F56" s="11"/>
      <c r="G56" s="9"/>
      <c r="H56" s="9"/>
      <c r="I56" s="9"/>
      <c r="J56" s="9"/>
      <c r="K56" s="11"/>
      <c r="L56" s="11"/>
      <c r="M56" s="11"/>
    </row>
    <row r="57" spans="1:13" s="261" customFormat="1" x14ac:dyDescent="0.25">
      <c r="A57" s="9"/>
      <c r="B57" s="260"/>
      <c r="C57" s="11"/>
      <c r="D57" s="11"/>
      <c r="E57" s="11"/>
      <c r="F57" s="11"/>
      <c r="G57" s="9"/>
      <c r="H57" s="9"/>
      <c r="I57" s="9"/>
      <c r="J57" s="9"/>
      <c r="K57" s="11"/>
      <c r="L57" s="11"/>
      <c r="M57" s="11"/>
    </row>
    <row r="58" spans="1:13" s="261" customFormat="1" x14ac:dyDescent="0.25">
      <c r="A58" s="9"/>
      <c r="B58" s="260"/>
      <c r="C58" s="11"/>
      <c r="D58" s="11"/>
      <c r="E58" s="11"/>
      <c r="F58" s="11"/>
      <c r="G58" s="9"/>
      <c r="H58" s="9"/>
      <c r="I58" s="9"/>
      <c r="J58" s="9"/>
      <c r="K58" s="11"/>
      <c r="L58" s="11"/>
      <c r="M58" s="11"/>
    </row>
    <row r="59" spans="1:13" s="261" customFormat="1" x14ac:dyDescent="0.25">
      <c r="A59" s="9"/>
      <c r="B59" s="260"/>
      <c r="C59" s="11"/>
      <c r="D59" s="11"/>
      <c r="E59" s="11"/>
      <c r="F59" s="11"/>
      <c r="G59" s="9"/>
      <c r="H59" s="9"/>
      <c r="I59" s="9"/>
      <c r="J59" s="9"/>
      <c r="K59" s="11"/>
      <c r="L59" s="11"/>
      <c r="M59" s="11"/>
    </row>
    <row r="60" spans="1:13" s="261" customFormat="1" x14ac:dyDescent="0.25">
      <c r="A60" s="9"/>
      <c r="B60" s="260"/>
      <c r="C60" s="11"/>
      <c r="D60" s="11"/>
      <c r="E60" s="11"/>
      <c r="F60" s="11"/>
      <c r="G60" s="9"/>
      <c r="H60" s="9"/>
      <c r="I60" s="9"/>
      <c r="J60" s="9"/>
      <c r="K60" s="11"/>
      <c r="L60" s="11"/>
      <c r="M60" s="11"/>
    </row>
    <row r="61" spans="1:13" s="261" customFormat="1" x14ac:dyDescent="0.25">
      <c r="A61" s="9"/>
      <c r="B61" s="260"/>
      <c r="C61" s="11"/>
      <c r="D61" s="11"/>
      <c r="E61" s="11"/>
      <c r="F61" s="11"/>
      <c r="G61" s="9"/>
      <c r="H61" s="9"/>
      <c r="I61" s="9"/>
      <c r="J61" s="9"/>
      <c r="K61" s="11"/>
      <c r="L61" s="11"/>
      <c r="M61" s="11"/>
    </row>
    <row r="62" spans="1:13" s="261" customFormat="1" x14ac:dyDescent="0.25">
      <c r="A62" s="9"/>
      <c r="B62" s="260"/>
      <c r="C62" s="11"/>
      <c r="D62" s="11"/>
      <c r="E62" s="11"/>
      <c r="F62" s="11"/>
      <c r="G62" s="9"/>
      <c r="H62" s="9"/>
      <c r="I62" s="9"/>
      <c r="J62" s="9"/>
      <c r="K62" s="11"/>
      <c r="L62" s="11"/>
      <c r="M62" s="11"/>
    </row>
    <row r="63" spans="1:13" s="261" customFormat="1" x14ac:dyDescent="0.25">
      <c r="A63" s="9"/>
      <c r="B63" s="260"/>
      <c r="C63" s="11"/>
      <c r="D63" s="11"/>
      <c r="E63" s="11"/>
      <c r="F63" s="11"/>
      <c r="G63" s="9"/>
      <c r="H63" s="9"/>
      <c r="I63" s="9"/>
      <c r="J63" s="9"/>
      <c r="K63" s="11"/>
      <c r="L63" s="11"/>
      <c r="M63" s="11"/>
    </row>
    <row r="64" spans="1:13" s="261" customFormat="1" x14ac:dyDescent="0.25">
      <c r="A64" s="9"/>
      <c r="B64" s="15"/>
      <c r="C64" s="11"/>
      <c r="D64" s="11"/>
      <c r="E64" s="11"/>
      <c r="F64" s="11"/>
      <c r="G64" s="9"/>
      <c r="H64" s="9"/>
      <c r="I64" s="9"/>
      <c r="J64" s="9"/>
      <c r="K64" s="11"/>
      <c r="L64" s="11"/>
      <c r="M64" s="11"/>
    </row>
    <row r="65" spans="1:13" s="261" customFormat="1" x14ac:dyDescent="0.25">
      <c r="A65" s="9"/>
      <c r="B65" s="260"/>
      <c r="C65" s="11"/>
      <c r="D65" s="11"/>
      <c r="E65" s="11"/>
      <c r="F65" s="11"/>
      <c r="G65" s="9"/>
      <c r="H65" s="9"/>
      <c r="I65" s="9"/>
      <c r="J65" s="9"/>
      <c r="K65" s="11"/>
      <c r="L65" s="11"/>
      <c r="M65" s="11"/>
    </row>
    <row r="66" spans="1:13" s="261" customFormat="1" x14ac:dyDescent="0.25">
      <c r="A66" s="9"/>
      <c r="B66" s="260"/>
      <c r="C66" s="11"/>
      <c r="D66" s="11"/>
      <c r="E66" s="11"/>
      <c r="F66" s="11"/>
      <c r="G66" s="9"/>
      <c r="H66" s="9"/>
      <c r="I66" s="9"/>
      <c r="J66" s="9"/>
      <c r="K66" s="11"/>
      <c r="L66" s="11"/>
      <c r="M66" s="11"/>
    </row>
    <row r="67" spans="1:13" s="261" customFormat="1" x14ac:dyDescent="0.25">
      <c r="A67" s="9"/>
      <c r="B67" s="260"/>
      <c r="C67" s="11"/>
      <c r="D67" s="11"/>
      <c r="E67" s="11"/>
      <c r="F67" s="11"/>
      <c r="G67" s="9"/>
      <c r="H67" s="9"/>
      <c r="I67" s="9"/>
      <c r="J67" s="9"/>
      <c r="K67" s="11"/>
      <c r="L67" s="11"/>
      <c r="M67" s="11"/>
    </row>
    <row r="68" spans="1:13" s="261" customFormat="1" x14ac:dyDescent="0.25">
      <c r="A68" s="9"/>
      <c r="B68" s="260"/>
      <c r="C68" s="11"/>
      <c r="D68" s="11"/>
      <c r="E68" s="11"/>
      <c r="F68" s="11"/>
      <c r="G68" s="9"/>
      <c r="H68" s="9"/>
      <c r="I68" s="9"/>
      <c r="J68" s="9"/>
      <c r="K68" s="11"/>
      <c r="L68" s="11"/>
      <c r="M68" s="11"/>
    </row>
    <row r="69" spans="1:13" s="261" customFormat="1" x14ac:dyDescent="0.25">
      <c r="A69" s="9"/>
      <c r="B69" s="260"/>
      <c r="C69" s="11"/>
      <c r="D69" s="11"/>
      <c r="E69" s="11"/>
      <c r="F69" s="11"/>
      <c r="G69" s="9"/>
      <c r="H69" s="9"/>
      <c r="I69" s="9"/>
      <c r="J69" s="9"/>
      <c r="K69" s="11"/>
      <c r="L69" s="11"/>
      <c r="M69" s="11"/>
    </row>
    <row r="70" spans="1:13" s="261" customFormat="1" x14ac:dyDescent="0.25">
      <c r="A70" s="9"/>
      <c r="B70" s="260"/>
      <c r="C70" s="11"/>
      <c r="D70" s="11"/>
      <c r="E70" s="11"/>
      <c r="F70" s="11"/>
      <c r="G70" s="9"/>
      <c r="H70" s="9"/>
      <c r="I70" s="9"/>
      <c r="J70" s="9"/>
      <c r="K70" s="11"/>
      <c r="L70" s="11"/>
      <c r="M70" s="11"/>
    </row>
    <row r="71" spans="1:13" s="261" customFormat="1" x14ac:dyDescent="0.25">
      <c r="A71" s="9"/>
      <c r="B71" s="260"/>
      <c r="C71" s="11"/>
      <c r="D71" s="11"/>
      <c r="E71" s="11"/>
      <c r="F71" s="11"/>
      <c r="G71" s="9"/>
      <c r="H71" s="9"/>
      <c r="I71" s="9"/>
      <c r="J71" s="9"/>
      <c r="K71" s="11"/>
      <c r="L71" s="11"/>
      <c r="M71" s="11"/>
    </row>
    <row r="72" spans="1:13" s="261" customFormat="1" x14ac:dyDescent="0.25">
      <c r="A72" s="9"/>
      <c r="B72" s="260"/>
      <c r="C72" s="11"/>
      <c r="D72" s="11"/>
      <c r="E72" s="11"/>
      <c r="F72" s="11"/>
      <c r="G72" s="9"/>
      <c r="H72" s="9"/>
      <c r="I72" s="9"/>
      <c r="J72" s="9"/>
      <c r="K72" s="11"/>
      <c r="L72" s="11"/>
      <c r="M72" s="11"/>
    </row>
    <row r="73" spans="1:13" s="261" customFormat="1" x14ac:dyDescent="0.25">
      <c r="A73" s="9"/>
      <c r="B73" s="260"/>
      <c r="C73" s="11"/>
      <c r="D73" s="11"/>
      <c r="E73" s="11"/>
      <c r="F73" s="11"/>
      <c r="G73" s="9"/>
      <c r="H73" s="9"/>
      <c r="I73" s="9"/>
      <c r="J73" s="9"/>
      <c r="K73" s="11"/>
      <c r="L73" s="11"/>
      <c r="M73" s="11"/>
    </row>
    <row r="74" spans="1:13" s="261" customFormat="1" x14ac:dyDescent="0.25">
      <c r="A74" s="9"/>
      <c r="B74" s="260"/>
      <c r="C74" s="11"/>
      <c r="D74" s="11"/>
      <c r="E74" s="11"/>
      <c r="F74" s="11"/>
      <c r="G74" s="9"/>
      <c r="H74" s="9"/>
      <c r="I74" s="9"/>
      <c r="J74" s="9"/>
      <c r="K74" s="11"/>
      <c r="L74" s="11"/>
      <c r="M74" s="11"/>
    </row>
  </sheetData>
  <mergeCells count="110">
    <mergeCell ref="B3:B4"/>
    <mergeCell ref="C3:C4"/>
    <mergeCell ref="D3:D4"/>
    <mergeCell ref="B5:B9"/>
    <mergeCell ref="E5:G5"/>
    <mergeCell ref="H5:J5"/>
    <mergeCell ref="K5:M5"/>
    <mergeCell ref="E13:G13"/>
    <mergeCell ref="H13:J13"/>
    <mergeCell ref="K13:M13"/>
    <mergeCell ref="E8:G8"/>
    <mergeCell ref="H8:J8"/>
    <mergeCell ref="K8:M8"/>
    <mergeCell ref="E14:G14"/>
    <mergeCell ref="H14:J14"/>
    <mergeCell ref="K14:M14"/>
    <mergeCell ref="B10:B29"/>
    <mergeCell ref="E10:G10"/>
    <mergeCell ref="H10:J10"/>
    <mergeCell ref="K10:M10"/>
    <mergeCell ref="E11:G11"/>
    <mergeCell ref="H11:J11"/>
    <mergeCell ref="K11:M11"/>
    <mergeCell ref="E12:G12"/>
    <mergeCell ref="H12:J12"/>
    <mergeCell ref="K12:M12"/>
    <mergeCell ref="E17:G17"/>
    <mergeCell ref="H17:J17"/>
    <mergeCell ref="K17:M17"/>
    <mergeCell ref="E18:G18"/>
    <mergeCell ref="H18:J18"/>
    <mergeCell ref="K18:M18"/>
    <mergeCell ref="E15:G15"/>
    <mergeCell ref="H15:J15"/>
    <mergeCell ref="K15:M15"/>
    <mergeCell ref="E16:G16"/>
    <mergeCell ref="H16:J16"/>
    <mergeCell ref="K16:M16"/>
    <mergeCell ref="E22:M22"/>
    <mergeCell ref="E23:G23"/>
    <mergeCell ref="H23:J23"/>
    <mergeCell ref="K23:M23"/>
    <mergeCell ref="E24:G24"/>
    <mergeCell ref="H24:J24"/>
    <mergeCell ref="K24:M24"/>
    <mergeCell ref="E19:G19"/>
    <mergeCell ref="H19:J19"/>
    <mergeCell ref="K19:M19"/>
    <mergeCell ref="E20:M20"/>
    <mergeCell ref="E21:G21"/>
    <mergeCell ref="H21:J21"/>
    <mergeCell ref="K21:M21"/>
    <mergeCell ref="E27:G27"/>
    <mergeCell ref="H27:J27"/>
    <mergeCell ref="K27:M27"/>
    <mergeCell ref="E28:G28"/>
    <mergeCell ref="H28:J28"/>
    <mergeCell ref="K28:M28"/>
    <mergeCell ref="E25:G25"/>
    <mergeCell ref="H25:J25"/>
    <mergeCell ref="K25:M25"/>
    <mergeCell ref="E26:G26"/>
    <mergeCell ref="H26:J26"/>
    <mergeCell ref="K26:M26"/>
    <mergeCell ref="E29:G29"/>
    <mergeCell ref="H29:J29"/>
    <mergeCell ref="K29:M29"/>
    <mergeCell ref="B30:B37"/>
    <mergeCell ref="E30:M30"/>
    <mergeCell ref="E31:G31"/>
    <mergeCell ref="H31:J31"/>
    <mergeCell ref="K31:M31"/>
    <mergeCell ref="E32:G32"/>
    <mergeCell ref="H32:J32"/>
    <mergeCell ref="H37:J37"/>
    <mergeCell ref="K37:M37"/>
    <mergeCell ref="B38:B39"/>
    <mergeCell ref="B41:B46"/>
    <mergeCell ref="E41:G41"/>
    <mergeCell ref="H41:J41"/>
    <mergeCell ref="K41:M41"/>
    <mergeCell ref="E42:G42"/>
    <mergeCell ref="K32:M32"/>
    <mergeCell ref="E33:G33"/>
    <mergeCell ref="H33:J33"/>
    <mergeCell ref="K33:M33"/>
    <mergeCell ref="E34:M34"/>
    <mergeCell ref="E35:G35"/>
    <mergeCell ref="H35:J35"/>
    <mergeCell ref="K35:M35"/>
    <mergeCell ref="H42:J42"/>
    <mergeCell ref="K42:M42"/>
    <mergeCell ref="E43:G43"/>
    <mergeCell ref="H43:J43"/>
    <mergeCell ref="K43:M43"/>
    <mergeCell ref="E44:G44"/>
    <mergeCell ref="H44:J44"/>
    <mergeCell ref="K44:M44"/>
    <mergeCell ref="E36:M36"/>
    <mergeCell ref="E37:G37"/>
    <mergeCell ref="E54:M54"/>
    <mergeCell ref="E55:G55"/>
    <mergeCell ref="H55:J55"/>
    <mergeCell ref="K55:M55"/>
    <mergeCell ref="E45:G45"/>
    <mergeCell ref="H45:J45"/>
    <mergeCell ref="K45:M45"/>
    <mergeCell ref="E46:G46"/>
    <mergeCell ref="H46:J46"/>
    <mergeCell ref="K46:M46"/>
  </mergeCells>
  <conditionalFormatting sqref="B40:C40 B5 D34:E34 B38:B39 C39 C29 D30:E30 C37 D36:E36 H29 K29 C31:C33 H31:H33 K31:K33 C35 H35 K35 D11:E11 B10:E10 H10:H11 K10:K11 E29 E31:E33 E35 E37 E39:M39">
    <cfRule type="expression" dxfId="52" priority="20">
      <formula>#REF!=TRUE</formula>
    </cfRule>
  </conditionalFormatting>
  <conditionalFormatting sqref="B47:M47 B42:E42 H41:H46 K41:K46 B41:C41 E41 B43:C46 E43:E46">
    <cfRule type="expression" dxfId="51" priority="19">
      <formula>#REF!=TRUE</formula>
    </cfRule>
  </conditionalFormatting>
  <conditionalFormatting sqref="B49:C49 E49:M49 B51:C51 B48:M48 E51:M51">
    <cfRule type="expression" dxfId="50" priority="18">
      <formula>#REF!=TRUE</formula>
    </cfRule>
  </conditionalFormatting>
  <conditionalFormatting sqref="C30">
    <cfRule type="expression" dxfId="49" priority="15">
      <formula>#REF!=TRUE</formula>
    </cfRule>
  </conditionalFormatting>
  <conditionalFormatting sqref="C36">
    <cfRule type="expression" dxfId="48" priority="14">
      <formula>#REF!=TRUE</formula>
    </cfRule>
  </conditionalFormatting>
  <conditionalFormatting sqref="D49 D51 D54">
    <cfRule type="expression" dxfId="47" priority="10">
      <formula>#REF!=TRUE</formula>
    </cfRule>
  </conditionalFormatting>
  <conditionalFormatting sqref="H37">
    <cfRule type="expression" dxfId="46" priority="9">
      <formula>#REF!=TRUE</formula>
    </cfRule>
  </conditionalFormatting>
  <conditionalFormatting sqref="K37">
    <cfRule type="expression" dxfId="45" priority="8">
      <formula>#REF!=TRUE</formula>
    </cfRule>
  </conditionalFormatting>
  <conditionalFormatting sqref="E50:M50 B50:C50">
    <cfRule type="expression" dxfId="44" priority="7">
      <formula>#REF!=TRUE</formula>
    </cfRule>
  </conditionalFormatting>
  <conditionalFormatting sqref="D50">
    <cfRule type="expression" dxfId="43" priority="6">
      <formula>#REF!=TRUE</formula>
    </cfRule>
  </conditionalFormatting>
  <conditionalFormatting sqref="E52:M52 B52:C52">
    <cfRule type="expression" dxfId="42" priority="5">
      <formula>#REF!=TRUE</formula>
    </cfRule>
  </conditionalFormatting>
  <conditionalFormatting sqref="D52">
    <cfRule type="expression" dxfId="41" priority="4">
      <formula>#REF!=TRUE</formula>
    </cfRule>
  </conditionalFormatting>
  <conditionalFormatting sqref="B53:C53 E53:M53">
    <cfRule type="expression" dxfId="40" priority="3">
      <formula>#REF!=TRUE</formula>
    </cfRule>
  </conditionalFormatting>
  <conditionalFormatting sqref="D53">
    <cfRule type="expression" dxfId="39" priority="2">
      <formula>#REF!=TRUE</formula>
    </cfRule>
  </conditionalFormatting>
  <conditionalFormatting sqref="E40:M40">
    <cfRule type="expression" dxfId="38" priority="1">
      <formula>#REF!=TRUE</formula>
    </cfRule>
  </conditionalFormatting>
  <dataValidations count="8">
    <dataValidation type="custom" allowBlank="1" showInputMessage="1" showErrorMessage="1" sqref="H46:H47 I47:J47 K46:K47 L47:M47">
      <formula1>NOT(CELL("Schutz",H46))</formula1>
    </dataValidation>
    <dataValidation type="custom" allowBlank="1" showInputMessage="1" showErrorMessage="1" error="Diese Zelle mit &quot;Berechnungsformel&quot; kann nicht geändert werden,_x000a_Löschen ist jedoch möglich &lt;del&gt;!" sqref="H43">
      <formula1>" =NICHT(ZELLE(""Schutz"";I40))"</formula1>
    </dataValidation>
    <dataValidation type="custom" allowBlank="1" showInputMessage="1" showErrorMessage="1" error="Diese Zelle mit &quot;Berechnungsformel&quot; kann nicht geändert werden,_x000a_Löschen ist jedoch möglich &lt;del&gt;!" sqref="K43">
      <formula1>" =NICHT(ZELLE(""Schutz"";L40))"</formula1>
    </dataValidation>
    <dataValidation type="custom" allowBlank="1" showInputMessage="1" showErrorMessage="1" sqref="F47">
      <formula1>" =NICHT(ZELLE(""Schutz"";H43))"</formula1>
    </dataValidation>
    <dataValidation type="custom" allowBlank="1" showInputMessage="1" showErrorMessage="1" sqref="G47">
      <formula1>" =NICHT(ZELLE(""Schutz"";I43))"</formula1>
    </dataValidation>
    <dataValidation allowBlank="1" showInputMessage="1" showErrorMessage="1" prompt="Eingabe von Ncrit (mg N/L)" sqref="E5"/>
    <dataValidation allowBlank="1" showInputMessage="1" showErrorMessage="1" error="Diese Zelle mit &quot;Berechnungsformel&quot; kann nicht geändert werden,_x000a_Löschen ist jedoch möglich &lt;del&gt;!" sqref="E29:E30"/>
    <dataValidation errorStyle="information" allowBlank="1" showInputMessage="1" showErrorMessage="1" errorTitle="% Abfuhr" error="=WENN(SUMME(E20:E22)&gt;100;&quot;Summe &gt; 100!&quot;;)" promptTitle="% Abfuhr" sqref="E26 H26 K26"/>
  </dataValidations>
  <printOptions gridLines="1"/>
  <pageMargins left="0.78740157480314965" right="0.78740157480314965" top="0.78740157480314965" bottom="0.78740157480314965" header="0.31496062992125984" footer="0.31496062992125984"/>
  <pageSetup paperSize="9" scale="58" orientation="portrait" r:id="rId1"/>
  <headerFooter>
    <oddFooter>&amp;LCL Datenmappe 2024&amp;CBlatt &amp;A, Seite &amp;P von &amp;N&amp;RDruck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4"/>
  <sheetViews>
    <sheetView topLeftCell="B1" zoomScaleNormal="100" zoomScaleSheetLayoutView="100" workbookViewId="0">
      <selection activeCell="E4" sqref="E4"/>
    </sheetView>
  </sheetViews>
  <sheetFormatPr baseColWidth="10" defaultColWidth="11.42578125" defaultRowHeight="15.75" x14ac:dyDescent="0.25"/>
  <cols>
    <col min="1" max="1" width="2.140625" style="1" customWidth="1"/>
    <col min="2" max="2" width="13.7109375" style="261" customWidth="1"/>
    <col min="3" max="3" width="39.85546875" style="2" customWidth="1"/>
    <col min="4" max="4" width="37.42578125" style="2" customWidth="1"/>
    <col min="5" max="6" width="11.7109375" style="2" customWidth="1"/>
    <col min="7" max="10" width="11.7109375" style="1" customWidth="1"/>
    <col min="11" max="13" width="11.7109375" style="2" customWidth="1"/>
    <col min="14" max="26" width="16.7109375" style="261" customWidth="1"/>
    <col min="27" max="28" width="16.7109375" style="2" customWidth="1"/>
    <col min="29" max="16384" width="11.42578125" style="2"/>
  </cols>
  <sheetData>
    <row r="1" spans="1:26" ht="18.75" x14ac:dyDescent="0.3">
      <c r="B1" s="247" t="s">
        <v>484</v>
      </c>
    </row>
    <row r="2" spans="1:26" ht="19.5" thickBot="1" x14ac:dyDescent="0.35">
      <c r="A2" s="9"/>
      <c r="B2" s="411" t="s">
        <v>321</v>
      </c>
      <c r="C2" s="412" t="s">
        <v>8</v>
      </c>
      <c r="D2" s="413" t="s">
        <v>9</v>
      </c>
      <c r="E2" s="413" t="s">
        <v>471</v>
      </c>
      <c r="F2" s="413" t="s">
        <v>472</v>
      </c>
      <c r="G2" s="413" t="s">
        <v>473</v>
      </c>
      <c r="H2" s="413" t="s">
        <v>474</v>
      </c>
      <c r="I2" s="413" t="s">
        <v>475</v>
      </c>
      <c r="J2" s="413" t="s">
        <v>476</v>
      </c>
      <c r="K2" s="413" t="s">
        <v>477</v>
      </c>
      <c r="L2" s="413" t="s">
        <v>478</v>
      </c>
      <c r="M2" s="414" t="s">
        <v>479</v>
      </c>
    </row>
    <row r="3" spans="1:26" ht="24.75" customHeight="1" x14ac:dyDescent="0.25">
      <c r="A3" s="45"/>
      <c r="B3" s="394"/>
      <c r="C3" s="396"/>
      <c r="D3" s="398"/>
      <c r="E3" s="264"/>
      <c r="F3" s="263" t="s">
        <v>481</v>
      </c>
      <c r="G3" s="262"/>
      <c r="H3" s="264"/>
      <c r="I3" s="263" t="s">
        <v>482</v>
      </c>
      <c r="J3" s="262"/>
      <c r="K3" s="264"/>
      <c r="L3" s="263" t="s">
        <v>483</v>
      </c>
      <c r="M3" s="265"/>
    </row>
    <row r="4" spans="1:26" ht="16.5" thickBot="1" x14ac:dyDescent="0.3">
      <c r="A4" s="9"/>
      <c r="B4" s="395"/>
      <c r="C4" s="397"/>
      <c r="D4" s="399"/>
      <c r="E4" s="428" t="s">
        <v>13</v>
      </c>
      <c r="F4" s="429" t="s">
        <v>11</v>
      </c>
      <c r="G4" s="429" t="s">
        <v>14</v>
      </c>
      <c r="H4" s="430" t="s">
        <v>13</v>
      </c>
      <c r="I4" s="429" t="s">
        <v>11</v>
      </c>
      <c r="J4" s="431" t="s">
        <v>14</v>
      </c>
      <c r="K4" s="430" t="s">
        <v>13</v>
      </c>
      <c r="L4" s="431" t="s">
        <v>11</v>
      </c>
      <c r="M4" s="432" t="s">
        <v>14</v>
      </c>
    </row>
    <row r="5" spans="1:26" s="8" customFormat="1" ht="18" customHeight="1" thickTop="1" x14ac:dyDescent="0.25">
      <c r="A5" s="38"/>
      <c r="B5" s="400" t="s">
        <v>270</v>
      </c>
      <c r="C5" s="312" t="s">
        <v>292</v>
      </c>
      <c r="D5" s="252" t="s">
        <v>316</v>
      </c>
      <c r="E5" s="433"/>
      <c r="F5" s="434">
        <v>1</v>
      </c>
      <c r="G5" s="434"/>
      <c r="H5" s="433"/>
      <c r="I5" s="434">
        <v>1.5</v>
      </c>
      <c r="J5" s="434"/>
      <c r="K5" s="433"/>
      <c r="L5" s="434">
        <v>2</v>
      </c>
      <c r="M5" s="434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26" ht="18" customHeight="1" x14ac:dyDescent="0.25">
      <c r="A6" s="9"/>
      <c r="B6" s="401"/>
      <c r="C6" s="311" t="s">
        <v>16</v>
      </c>
      <c r="D6" s="252" t="s">
        <v>317</v>
      </c>
      <c r="E6" s="435">
        <v>93</v>
      </c>
      <c r="F6" s="435">
        <v>277</v>
      </c>
      <c r="G6" s="435">
        <v>630</v>
      </c>
      <c r="H6" s="435">
        <v>93</v>
      </c>
      <c r="I6" s="435">
        <v>277</v>
      </c>
      <c r="J6" s="435">
        <v>630</v>
      </c>
      <c r="K6" s="435">
        <v>93</v>
      </c>
      <c r="L6" s="435">
        <v>277</v>
      </c>
      <c r="M6" s="435">
        <v>630</v>
      </c>
    </row>
    <row r="7" spans="1:26" ht="18" customHeight="1" x14ac:dyDescent="0.25">
      <c r="A7" s="9"/>
      <c r="B7" s="401"/>
      <c r="C7" s="348" t="s">
        <v>328</v>
      </c>
      <c r="D7" s="347" t="s">
        <v>329</v>
      </c>
      <c r="E7" s="436">
        <f>F5*E6/100</f>
        <v>0.93</v>
      </c>
      <c r="F7" s="437">
        <f>F5*F6/100</f>
        <v>2.77</v>
      </c>
      <c r="G7" s="437">
        <f>F5*G6/100</f>
        <v>6.3</v>
      </c>
      <c r="H7" s="437">
        <f>I5*H6/100</f>
        <v>1.395</v>
      </c>
      <c r="I7" s="437">
        <f>I5*I6/100</f>
        <v>4.1550000000000002</v>
      </c>
      <c r="J7" s="437">
        <f>I5*J6/100</f>
        <v>9.4499999999999993</v>
      </c>
      <c r="K7" s="437">
        <f>L5*K6/100</f>
        <v>1.86</v>
      </c>
      <c r="L7" s="437">
        <f>L5*L6/100</f>
        <v>5.54</v>
      </c>
      <c r="M7" s="437">
        <f>L5*M6/100</f>
        <v>12.6</v>
      </c>
    </row>
    <row r="8" spans="1:26" ht="18" customHeight="1" x14ac:dyDescent="0.25">
      <c r="A8" s="9"/>
      <c r="B8" s="401"/>
      <c r="C8" s="354" t="s">
        <v>330</v>
      </c>
      <c r="D8" s="347" t="s">
        <v>329</v>
      </c>
      <c r="E8" s="438"/>
      <c r="F8" s="439">
        <v>3</v>
      </c>
      <c r="G8" s="439"/>
      <c r="H8" s="440"/>
      <c r="I8" s="439">
        <v>5</v>
      </c>
      <c r="J8" s="439"/>
      <c r="K8" s="438"/>
      <c r="L8" s="439">
        <v>7</v>
      </c>
      <c r="M8" s="439"/>
    </row>
    <row r="9" spans="1:26" ht="18" customHeight="1" x14ac:dyDescent="0.25">
      <c r="A9" s="45"/>
      <c r="B9" s="402"/>
      <c r="C9" s="355" t="s">
        <v>270</v>
      </c>
      <c r="D9" s="418" t="s">
        <v>329</v>
      </c>
      <c r="E9" s="441">
        <f>IF(E7&lt;$F$8,E7,$F$8)</f>
        <v>0.93</v>
      </c>
      <c r="F9" s="439">
        <f>IF(F7&lt;$F$8,F7,$F$8)</f>
        <v>2.77</v>
      </c>
      <c r="G9" s="439">
        <f>IF(G7&lt;$F$8,G7,$F$8)</f>
        <v>3</v>
      </c>
      <c r="H9" s="439">
        <f>IF(H7&lt;$I$8,H7,$I$8)</f>
        <v>1.395</v>
      </c>
      <c r="I9" s="439">
        <f>IF(I7&lt;$I$8,I7,$I$8)</f>
        <v>4.1550000000000002</v>
      </c>
      <c r="J9" s="439">
        <f>IF(J7&lt;$I$8,J7,$I$8)</f>
        <v>5</v>
      </c>
      <c r="K9" s="439">
        <f>IF(K7&lt;$L$8,K7,$L$8)</f>
        <v>1.86</v>
      </c>
      <c r="L9" s="439">
        <f>IF(L7&lt;$L$8,L7,$L$8)</f>
        <v>5.54</v>
      </c>
      <c r="M9" s="439">
        <f>IF(M7&lt;$L$8,M7,$L$8)</f>
        <v>7</v>
      </c>
    </row>
    <row r="10" spans="1:26" ht="18" customHeight="1" x14ac:dyDescent="0.25">
      <c r="A10" s="45"/>
      <c r="B10" s="403" t="s">
        <v>313</v>
      </c>
      <c r="C10" s="327" t="s">
        <v>324</v>
      </c>
      <c r="D10" s="252" t="s">
        <v>311</v>
      </c>
      <c r="E10" s="438"/>
      <c r="F10" s="442">
        <v>1</v>
      </c>
      <c r="G10" s="443"/>
      <c r="H10" s="440"/>
      <c r="I10" s="442">
        <v>1.5</v>
      </c>
      <c r="J10" s="443"/>
      <c r="K10" s="438"/>
      <c r="L10" s="442">
        <v>2.5</v>
      </c>
      <c r="M10" s="443"/>
    </row>
    <row r="11" spans="1:26" ht="18" customHeight="1" x14ac:dyDescent="0.25">
      <c r="A11" s="45"/>
      <c r="B11" s="403"/>
      <c r="C11" s="328" t="s">
        <v>314</v>
      </c>
      <c r="D11" s="252" t="s">
        <v>311</v>
      </c>
      <c r="E11" s="438"/>
      <c r="F11" s="442" t="s">
        <v>315</v>
      </c>
      <c r="G11" s="443"/>
      <c r="H11" s="440"/>
      <c r="I11" s="442" t="s">
        <v>315</v>
      </c>
      <c r="J11" s="443"/>
      <c r="K11" s="438"/>
      <c r="L11" s="442" t="s">
        <v>326</v>
      </c>
      <c r="M11" s="443"/>
    </row>
    <row r="12" spans="1:26" ht="18" customHeight="1" x14ac:dyDescent="0.25">
      <c r="A12" s="9"/>
      <c r="B12" s="403"/>
      <c r="C12" s="313" t="s">
        <v>276</v>
      </c>
      <c r="D12" s="419" t="s">
        <v>319</v>
      </c>
      <c r="E12" s="438"/>
      <c r="F12" s="444">
        <v>14.9</v>
      </c>
      <c r="G12" s="445"/>
      <c r="H12" s="440"/>
      <c r="I12" s="444">
        <v>15.9</v>
      </c>
      <c r="J12" s="445"/>
      <c r="K12" s="438"/>
      <c r="L12" s="444">
        <v>19</v>
      </c>
      <c r="M12" s="445"/>
    </row>
    <row r="13" spans="1:26" ht="18" customHeight="1" x14ac:dyDescent="0.25">
      <c r="A13" s="9"/>
      <c r="B13" s="403"/>
      <c r="C13" s="313" t="s">
        <v>277</v>
      </c>
      <c r="D13" s="252" t="s">
        <v>320</v>
      </c>
      <c r="E13" s="438"/>
      <c r="F13" s="446">
        <v>13</v>
      </c>
      <c r="G13" s="447"/>
      <c r="H13" s="440"/>
      <c r="I13" s="446">
        <v>22</v>
      </c>
      <c r="J13" s="447"/>
      <c r="K13" s="438"/>
      <c r="L13" s="448">
        <v>35</v>
      </c>
      <c r="M13" s="449"/>
    </row>
    <row r="14" spans="1:26" ht="18" customHeight="1" x14ac:dyDescent="0.35">
      <c r="A14" s="9"/>
      <c r="B14" s="403"/>
      <c r="C14" s="305" t="s">
        <v>291</v>
      </c>
      <c r="D14" s="420" t="s">
        <v>318</v>
      </c>
      <c r="E14" s="438"/>
      <c r="F14" s="450">
        <f>F12*F13*100/1000</f>
        <v>19.37</v>
      </c>
      <c r="G14" s="445"/>
      <c r="H14" s="440"/>
      <c r="I14" s="450">
        <f>I12*I13*100/1000</f>
        <v>34.979999999999997</v>
      </c>
      <c r="J14" s="445"/>
      <c r="K14" s="438"/>
      <c r="L14" s="450">
        <f>L12*L13*100/1000</f>
        <v>66.5</v>
      </c>
      <c r="M14" s="445"/>
    </row>
    <row r="15" spans="1:26" ht="18" customHeight="1" x14ac:dyDescent="0.25">
      <c r="A15" s="9"/>
      <c r="B15" s="403"/>
      <c r="C15" s="314" t="s">
        <v>293</v>
      </c>
      <c r="D15" s="421" t="s">
        <v>19</v>
      </c>
      <c r="E15" s="438"/>
      <c r="F15" s="451">
        <v>0.65</v>
      </c>
      <c r="G15" s="451"/>
      <c r="H15" s="440"/>
      <c r="I15" s="451">
        <v>0.7</v>
      </c>
      <c r="J15" s="451"/>
      <c r="K15" s="438"/>
      <c r="L15" s="451">
        <v>0.7</v>
      </c>
      <c r="M15" s="451"/>
    </row>
    <row r="16" spans="1:26" s="261" customFormat="1" ht="18" customHeight="1" x14ac:dyDescent="0.25">
      <c r="A16" s="9"/>
      <c r="B16" s="403"/>
      <c r="C16" s="313" t="s">
        <v>278</v>
      </c>
      <c r="D16" s="252" t="s">
        <v>320</v>
      </c>
      <c r="E16" s="452"/>
      <c r="F16" s="453">
        <f>F13*$F15</f>
        <v>8.4500000000000011</v>
      </c>
      <c r="G16" s="445"/>
      <c r="H16" s="452"/>
      <c r="I16" s="453">
        <f>I13*$I15</f>
        <v>15.399999999999999</v>
      </c>
      <c r="J16" s="445"/>
      <c r="K16" s="452"/>
      <c r="L16" s="453">
        <f>L13*$L15</f>
        <v>24.5</v>
      </c>
      <c r="M16" s="445"/>
    </row>
    <row r="17" spans="1:13" s="261" customFormat="1" ht="18" customHeight="1" x14ac:dyDescent="0.25">
      <c r="A17" s="9"/>
      <c r="B17" s="403"/>
      <c r="C17" s="313" t="s">
        <v>296</v>
      </c>
      <c r="D17" s="252" t="s">
        <v>322</v>
      </c>
      <c r="E17" s="452"/>
      <c r="F17" s="453">
        <f>((F16*100*9.27)/20659)*(290/500)</f>
        <v>0.21991514594123626</v>
      </c>
      <c r="G17" s="445"/>
      <c r="H17" s="452"/>
      <c r="I17" s="453">
        <f>((I16*100*9.27)/20659)*(290/500)</f>
        <v>0.40079210029527074</v>
      </c>
      <c r="J17" s="445"/>
      <c r="K17" s="452"/>
      <c r="L17" s="453">
        <f>((L16*100*9.276)/20659)*(290/500)</f>
        <v>0.63803649741032964</v>
      </c>
      <c r="M17" s="445"/>
    </row>
    <row r="18" spans="1:13" s="261" customFormat="1" ht="18" customHeight="1" x14ac:dyDescent="0.25">
      <c r="A18" s="9"/>
      <c r="B18" s="403"/>
      <c r="C18" s="313" t="s">
        <v>279</v>
      </c>
      <c r="D18" s="419" t="s">
        <v>319</v>
      </c>
      <c r="E18" s="452"/>
      <c r="F18" s="444">
        <v>30</v>
      </c>
      <c r="G18" s="445"/>
      <c r="H18" s="452"/>
      <c r="I18" s="444">
        <v>33</v>
      </c>
      <c r="J18" s="445"/>
      <c r="K18" s="452"/>
      <c r="L18" s="444">
        <v>33</v>
      </c>
      <c r="M18" s="445"/>
    </row>
    <row r="19" spans="1:13" s="261" customFormat="1" ht="18" customHeight="1" x14ac:dyDescent="0.25">
      <c r="A19" s="9"/>
      <c r="B19" s="403"/>
      <c r="C19" s="315" t="s">
        <v>294</v>
      </c>
      <c r="D19" s="252" t="s">
        <v>318</v>
      </c>
      <c r="E19" s="452"/>
      <c r="F19" s="454">
        <f>F16*F18*100/1000</f>
        <v>25.350000000000005</v>
      </c>
      <c r="G19" s="445"/>
      <c r="H19" s="452"/>
      <c r="I19" s="454">
        <f>I16*I18*100/1000</f>
        <v>50.819999999999993</v>
      </c>
      <c r="J19" s="445"/>
      <c r="K19" s="452"/>
      <c r="L19" s="454">
        <f>L16*L18*100/1000</f>
        <v>80.849999999999994</v>
      </c>
      <c r="M19" s="445"/>
    </row>
    <row r="20" spans="1:13" s="261" customFormat="1" ht="18" customHeight="1" x14ac:dyDescent="0.25">
      <c r="A20" s="9"/>
      <c r="B20" s="403"/>
      <c r="C20" s="316" t="s">
        <v>458</v>
      </c>
      <c r="D20" s="252" t="s">
        <v>19</v>
      </c>
      <c r="E20" s="452"/>
      <c r="F20" s="455">
        <v>6.5000000000000002E-2</v>
      </c>
      <c r="G20" s="455"/>
      <c r="H20" s="452"/>
      <c r="I20" s="455">
        <v>6.5000000000000002E-2</v>
      </c>
      <c r="J20" s="455"/>
      <c r="K20" s="452"/>
      <c r="L20" s="455">
        <v>6.5000000000000002E-2</v>
      </c>
      <c r="M20" s="455"/>
    </row>
    <row r="21" spans="1:13" s="261" customFormat="1" ht="18" customHeight="1" x14ac:dyDescent="0.25">
      <c r="A21" s="9"/>
      <c r="B21" s="403"/>
      <c r="C21" s="305" t="s">
        <v>280</v>
      </c>
      <c r="D21" s="420" t="s">
        <v>318</v>
      </c>
      <c r="E21" s="452"/>
      <c r="F21" s="456">
        <f>F19*$I20</f>
        <v>1.6477500000000003</v>
      </c>
      <c r="G21" s="445"/>
      <c r="H21" s="452"/>
      <c r="I21" s="456">
        <f>I19*$I20</f>
        <v>3.3032999999999997</v>
      </c>
      <c r="J21" s="445"/>
      <c r="K21" s="452"/>
      <c r="L21" s="456">
        <f>L19*$I20</f>
        <v>5.2552500000000002</v>
      </c>
      <c r="M21" s="445"/>
    </row>
    <row r="22" spans="1:13" s="261" customFormat="1" ht="18" customHeight="1" x14ac:dyDescent="0.25">
      <c r="A22" s="9"/>
      <c r="B22" s="403"/>
      <c r="C22" s="314" t="s">
        <v>459</v>
      </c>
      <c r="D22" s="421" t="s">
        <v>19</v>
      </c>
      <c r="E22" s="452"/>
      <c r="F22" s="457">
        <v>0.67</v>
      </c>
      <c r="G22" s="457"/>
      <c r="H22" s="452"/>
      <c r="I22" s="457">
        <v>0.67</v>
      </c>
      <c r="J22" s="457"/>
      <c r="K22" s="452"/>
      <c r="L22" s="457">
        <v>0.67</v>
      </c>
      <c r="M22" s="457"/>
    </row>
    <row r="23" spans="1:13" s="261" customFormat="1" ht="18" customHeight="1" x14ac:dyDescent="0.25">
      <c r="A23" s="9"/>
      <c r="B23" s="403"/>
      <c r="C23" s="315" t="s">
        <v>295</v>
      </c>
      <c r="D23" s="252" t="s">
        <v>318</v>
      </c>
      <c r="E23" s="452"/>
      <c r="F23" s="454">
        <f>(F19-F21)*$F22</f>
        <v>15.880507500000006</v>
      </c>
      <c r="G23" s="445"/>
      <c r="H23" s="452"/>
      <c r="I23" s="454">
        <f>(I19-I21)*$F22</f>
        <v>31.836188999999997</v>
      </c>
      <c r="J23" s="445"/>
      <c r="K23" s="452"/>
      <c r="L23" s="454">
        <f>(L19-L21)*$F22</f>
        <v>50.6484825</v>
      </c>
      <c r="M23" s="445"/>
    </row>
    <row r="24" spans="1:13" s="261" customFormat="1" ht="18" customHeight="1" x14ac:dyDescent="0.25">
      <c r="A24" s="9"/>
      <c r="B24" s="403"/>
      <c r="C24" s="305" t="s">
        <v>289</v>
      </c>
      <c r="D24" s="420" t="s">
        <v>318</v>
      </c>
      <c r="E24" s="452"/>
      <c r="F24" s="456">
        <f>F21+F23</f>
        <v>17.528257500000006</v>
      </c>
      <c r="G24" s="445"/>
      <c r="H24" s="452"/>
      <c r="I24" s="456">
        <f>I21+I23</f>
        <v>35.139488999999998</v>
      </c>
      <c r="J24" s="445"/>
      <c r="K24" s="452"/>
      <c r="L24" s="456">
        <f>L21+L23</f>
        <v>55.903732500000004</v>
      </c>
      <c r="M24" s="445"/>
    </row>
    <row r="25" spans="1:13" s="261" customFormat="1" ht="18" customHeight="1" x14ac:dyDescent="0.25">
      <c r="A25" s="9"/>
      <c r="B25" s="403"/>
      <c r="C25" s="317" t="s">
        <v>281</v>
      </c>
      <c r="D25" s="252" t="s">
        <v>308</v>
      </c>
      <c r="E25" s="452"/>
      <c r="F25" s="458"/>
      <c r="G25" s="458"/>
      <c r="H25" s="452"/>
      <c r="I25" s="458"/>
      <c r="J25" s="458"/>
      <c r="K25" s="452"/>
      <c r="L25" s="458"/>
      <c r="M25" s="458"/>
    </row>
    <row r="26" spans="1:13" s="261" customFormat="1" ht="18" customHeight="1" x14ac:dyDescent="0.25">
      <c r="A26" s="9"/>
      <c r="B26" s="403"/>
      <c r="C26" s="255" t="s">
        <v>297</v>
      </c>
      <c r="D26" s="252" t="s">
        <v>309</v>
      </c>
      <c r="E26" s="452"/>
      <c r="F26" s="459">
        <v>0.8</v>
      </c>
      <c r="G26" s="460"/>
      <c r="H26" s="452"/>
      <c r="I26" s="459">
        <v>0.8</v>
      </c>
      <c r="J26" s="460"/>
      <c r="K26" s="452"/>
      <c r="L26" s="459">
        <v>0.8</v>
      </c>
      <c r="M26" s="460"/>
    </row>
    <row r="27" spans="1:13" s="261" customFormat="1" ht="18" customHeight="1" x14ac:dyDescent="0.25">
      <c r="A27" s="9"/>
      <c r="B27" s="403"/>
      <c r="C27" s="255" t="s">
        <v>298</v>
      </c>
      <c r="D27" s="252" t="s">
        <v>309</v>
      </c>
      <c r="E27" s="452"/>
      <c r="F27" s="461">
        <v>0.2</v>
      </c>
      <c r="G27" s="445"/>
      <c r="H27" s="452"/>
      <c r="I27" s="461">
        <v>0.2</v>
      </c>
      <c r="J27" s="445"/>
      <c r="K27" s="452"/>
      <c r="L27" s="461">
        <v>0.2</v>
      </c>
      <c r="M27" s="445"/>
    </row>
    <row r="28" spans="1:13" s="261" customFormat="1" ht="18" customHeight="1" x14ac:dyDescent="0.25">
      <c r="A28" s="9"/>
      <c r="B28" s="403"/>
      <c r="C28" s="255" t="s">
        <v>299</v>
      </c>
      <c r="D28" s="252" t="s">
        <v>309</v>
      </c>
      <c r="E28" s="452"/>
      <c r="F28" s="461">
        <v>0</v>
      </c>
      <c r="G28" s="445"/>
      <c r="H28" s="452"/>
      <c r="I28" s="461">
        <v>0</v>
      </c>
      <c r="J28" s="445"/>
      <c r="K28" s="452"/>
      <c r="L28" s="461">
        <v>0</v>
      </c>
      <c r="M28" s="445"/>
    </row>
    <row r="29" spans="1:13" s="261" customFormat="1" ht="18" customHeight="1" x14ac:dyDescent="0.35">
      <c r="A29" s="9"/>
      <c r="B29" s="404"/>
      <c r="C29" s="256" t="s">
        <v>290</v>
      </c>
      <c r="D29" s="420" t="s">
        <v>318</v>
      </c>
      <c r="E29" s="452"/>
      <c r="F29" s="456">
        <f>F14*F26+F21*F27+F24*F28</f>
        <v>15.825550000000002</v>
      </c>
      <c r="G29" s="445"/>
      <c r="H29" s="452"/>
      <c r="I29" s="456">
        <f>I14*I26+I21*I27+I24*I28</f>
        <v>28.644659999999998</v>
      </c>
      <c r="J29" s="445"/>
      <c r="K29" s="452"/>
      <c r="L29" s="456">
        <f>L14*L26+L21*L27+L24*L28</f>
        <v>54.251050000000006</v>
      </c>
      <c r="M29" s="445"/>
    </row>
    <row r="30" spans="1:13" s="261" customFormat="1" ht="18" customHeight="1" x14ac:dyDescent="0.25">
      <c r="A30" s="45"/>
      <c r="B30" s="405" t="s">
        <v>312</v>
      </c>
      <c r="C30" s="295" t="s">
        <v>460</v>
      </c>
      <c r="D30" s="279" t="s">
        <v>19</v>
      </c>
      <c r="E30" s="452"/>
      <c r="F30" s="457">
        <v>0.06</v>
      </c>
      <c r="G30" s="457"/>
      <c r="H30" s="452"/>
      <c r="I30" s="457">
        <v>0.06</v>
      </c>
      <c r="J30" s="457"/>
      <c r="K30" s="452"/>
      <c r="L30" s="457">
        <v>0.06</v>
      </c>
      <c r="M30" s="457"/>
    </row>
    <row r="31" spans="1:13" s="261" customFormat="1" ht="18" customHeight="1" x14ac:dyDescent="0.25">
      <c r="A31" s="270"/>
      <c r="B31" s="406"/>
      <c r="C31" s="302" t="s">
        <v>282</v>
      </c>
      <c r="D31" s="422" t="s">
        <v>318</v>
      </c>
      <c r="E31" s="452"/>
      <c r="F31" s="462">
        <f>(F19-F21)*($F30)</f>
        <v>1.4221350000000004</v>
      </c>
      <c r="G31" s="460"/>
      <c r="H31" s="452"/>
      <c r="I31" s="462">
        <f>(I19-I21)*($F30)</f>
        <v>2.8510019999999994</v>
      </c>
      <c r="J31" s="460"/>
      <c r="K31" s="452"/>
      <c r="L31" s="462">
        <f>(L19-L21)*($F30)</f>
        <v>4.5356849999999991</v>
      </c>
      <c r="M31" s="460"/>
    </row>
    <row r="32" spans="1:13" s="261" customFormat="1" ht="18" customHeight="1" x14ac:dyDescent="0.25">
      <c r="A32" s="270"/>
      <c r="B32" s="406"/>
      <c r="C32" s="302" t="s">
        <v>283</v>
      </c>
      <c r="D32" s="423" t="s">
        <v>318</v>
      </c>
      <c r="E32" s="452"/>
      <c r="F32" s="462">
        <f>(F19-F21-F23)*($F30)</f>
        <v>0.46930455000000004</v>
      </c>
      <c r="G32" s="460"/>
      <c r="H32" s="452"/>
      <c r="I32" s="462">
        <f>(I19-I21-I23)*($F30)</f>
        <v>0.94083065999999971</v>
      </c>
      <c r="J32" s="460"/>
      <c r="K32" s="452"/>
      <c r="L32" s="462">
        <f>(L19-L21-L23)*($F30)</f>
        <v>1.4967760499999994</v>
      </c>
      <c r="M32" s="460"/>
    </row>
    <row r="33" spans="1:13" s="261" customFormat="1" ht="18" customHeight="1" x14ac:dyDescent="0.25">
      <c r="A33" s="270"/>
      <c r="B33" s="406"/>
      <c r="C33" s="302" t="s">
        <v>284</v>
      </c>
      <c r="D33" s="423" t="s">
        <v>318</v>
      </c>
      <c r="E33" s="452"/>
      <c r="F33" s="462">
        <f>F31*(F27)+F32*(F28)</f>
        <v>0.2844270000000001</v>
      </c>
      <c r="G33" s="460"/>
      <c r="H33" s="452"/>
      <c r="I33" s="462">
        <f>I31*(I27)+I32*(I28)</f>
        <v>0.57020039999999994</v>
      </c>
      <c r="J33" s="460"/>
      <c r="K33" s="452"/>
      <c r="L33" s="462">
        <f>L31*(L27)+L32*(L28)</f>
        <v>0.90713699999999986</v>
      </c>
      <c r="M33" s="460"/>
    </row>
    <row r="34" spans="1:13" s="261" customFormat="1" ht="18" customHeight="1" x14ac:dyDescent="0.25">
      <c r="A34" s="270"/>
      <c r="B34" s="406"/>
      <c r="C34" s="321" t="s">
        <v>461</v>
      </c>
      <c r="D34" s="424" t="s">
        <v>19</v>
      </c>
      <c r="E34" s="452"/>
      <c r="F34" s="463">
        <v>0.2</v>
      </c>
      <c r="G34" s="463"/>
      <c r="H34" s="452"/>
      <c r="I34" s="463">
        <v>0.2</v>
      </c>
      <c r="J34" s="463"/>
      <c r="K34" s="452"/>
      <c r="L34" s="463">
        <v>0.2</v>
      </c>
      <c r="M34" s="463"/>
    </row>
    <row r="35" spans="1:13" s="261" customFormat="1" ht="18" customHeight="1" x14ac:dyDescent="0.25">
      <c r="A35" s="270"/>
      <c r="B35" s="406"/>
      <c r="C35" s="280" t="s">
        <v>285</v>
      </c>
      <c r="D35" s="420" t="s">
        <v>318</v>
      </c>
      <c r="E35" s="452"/>
      <c r="F35" s="462">
        <f>F$41*($F34)</f>
        <v>1</v>
      </c>
      <c r="G35" s="460"/>
      <c r="H35" s="452"/>
      <c r="I35" s="464">
        <f>I$41*($F34)</f>
        <v>2</v>
      </c>
      <c r="J35" s="465"/>
      <c r="K35" s="452"/>
      <c r="L35" s="462">
        <f>L$41*($F34)</f>
        <v>6</v>
      </c>
      <c r="M35" s="460"/>
    </row>
    <row r="36" spans="1:13" s="261" customFormat="1" ht="18" customHeight="1" x14ac:dyDescent="0.25">
      <c r="A36" s="270"/>
      <c r="B36" s="401"/>
      <c r="C36" s="310" t="s">
        <v>462</v>
      </c>
      <c r="D36" s="271" t="s">
        <v>19</v>
      </c>
      <c r="E36" s="452"/>
      <c r="F36" s="463">
        <v>0.3</v>
      </c>
      <c r="G36" s="463"/>
      <c r="H36" s="452"/>
      <c r="I36" s="463">
        <v>0.3</v>
      </c>
      <c r="J36" s="463"/>
      <c r="K36" s="452"/>
      <c r="L36" s="463">
        <v>0.3</v>
      </c>
      <c r="M36" s="463"/>
    </row>
    <row r="37" spans="1:13" s="261" customFormat="1" ht="18" customHeight="1" x14ac:dyDescent="0.25">
      <c r="A37" s="270"/>
      <c r="B37" s="402"/>
      <c r="C37" s="257" t="s">
        <v>286</v>
      </c>
      <c r="D37" s="420" t="s">
        <v>318</v>
      </c>
      <c r="E37" s="452"/>
      <c r="F37" s="462">
        <f>F23*$F36</f>
        <v>4.7641522500000013</v>
      </c>
      <c r="G37" s="460"/>
      <c r="H37" s="452"/>
      <c r="I37" s="462">
        <f>I23*$F36</f>
        <v>9.5508566999999989</v>
      </c>
      <c r="J37" s="460"/>
      <c r="K37" s="452"/>
      <c r="L37" s="462">
        <f>L23*$F36</f>
        <v>15.194544749999999</v>
      </c>
      <c r="M37" s="460"/>
    </row>
    <row r="38" spans="1:13" s="261" customFormat="1" ht="18" customHeight="1" x14ac:dyDescent="0.25">
      <c r="A38" s="9"/>
      <c r="B38" s="407" t="s">
        <v>271</v>
      </c>
      <c r="C38" s="322" t="s">
        <v>287</v>
      </c>
      <c r="D38" s="252" t="s">
        <v>0</v>
      </c>
      <c r="E38" s="466">
        <v>0.23</v>
      </c>
      <c r="F38" s="453">
        <v>0.33</v>
      </c>
      <c r="G38" s="453">
        <v>0.33</v>
      </c>
      <c r="H38" s="466">
        <v>0.23</v>
      </c>
      <c r="I38" s="453">
        <v>0.33</v>
      </c>
      <c r="J38" s="453">
        <v>0.33</v>
      </c>
      <c r="K38" s="466">
        <v>0.23</v>
      </c>
      <c r="L38" s="453">
        <v>0.33</v>
      </c>
      <c r="M38" s="453">
        <v>0.33</v>
      </c>
    </row>
    <row r="39" spans="1:13" s="261" customFormat="1" ht="18" customHeight="1" x14ac:dyDescent="0.25">
      <c r="A39" s="272"/>
      <c r="B39" s="408"/>
      <c r="C39" s="288" t="s">
        <v>271</v>
      </c>
      <c r="D39" s="420" t="s">
        <v>318</v>
      </c>
      <c r="E39" s="462">
        <f t="shared" ref="E39:M39" si="0">E9*(E38/(1-E38))</f>
        <v>0.27779220779220781</v>
      </c>
      <c r="F39" s="467">
        <f t="shared" si="0"/>
        <v>1.3643283582089554</v>
      </c>
      <c r="G39" s="467">
        <f t="shared" si="0"/>
        <v>1.4776119402985077</v>
      </c>
      <c r="H39" s="467">
        <f t="shared" si="0"/>
        <v>0.41668831168831166</v>
      </c>
      <c r="I39" s="467">
        <f t="shared" si="0"/>
        <v>2.0464925373134335</v>
      </c>
      <c r="J39" s="467">
        <f t="shared" si="0"/>
        <v>2.4626865671641793</v>
      </c>
      <c r="K39" s="467">
        <f t="shared" si="0"/>
        <v>0.55558441558441563</v>
      </c>
      <c r="L39" s="467">
        <f t="shared" si="0"/>
        <v>2.7286567164179107</v>
      </c>
      <c r="M39" s="467">
        <f t="shared" si="0"/>
        <v>3.4477611940298516</v>
      </c>
    </row>
    <row r="40" spans="1:13" s="261" customFormat="1" ht="18" customHeight="1" x14ac:dyDescent="0.25">
      <c r="A40" s="272"/>
      <c r="B40" s="326" t="s">
        <v>272</v>
      </c>
      <c r="C40" s="289" t="s">
        <v>272</v>
      </c>
      <c r="D40" s="420" t="s">
        <v>318</v>
      </c>
      <c r="E40" s="468">
        <v>0.2</v>
      </c>
      <c r="F40" s="469">
        <v>0.2</v>
      </c>
      <c r="G40" s="468">
        <v>0.2</v>
      </c>
      <c r="H40" s="468">
        <v>0.2</v>
      </c>
      <c r="I40" s="469">
        <v>0.2</v>
      </c>
      <c r="J40" s="468">
        <v>0.2</v>
      </c>
      <c r="K40" s="468">
        <v>0.2</v>
      </c>
      <c r="L40" s="469">
        <v>0.2</v>
      </c>
      <c r="M40" s="468">
        <v>0.2</v>
      </c>
    </row>
    <row r="41" spans="1:13" s="261" customFormat="1" ht="18" customHeight="1" x14ac:dyDescent="0.25">
      <c r="A41" s="9"/>
      <c r="B41" s="407" t="s">
        <v>35</v>
      </c>
      <c r="C41" s="323" t="s">
        <v>305</v>
      </c>
      <c r="D41" s="425" t="s">
        <v>318</v>
      </c>
      <c r="E41" s="452"/>
      <c r="F41" s="470">
        <v>5</v>
      </c>
      <c r="G41" s="471"/>
      <c r="H41" s="452"/>
      <c r="I41" s="470">
        <v>10</v>
      </c>
      <c r="J41" s="471"/>
      <c r="K41" s="452"/>
      <c r="L41" s="470">
        <v>30</v>
      </c>
      <c r="M41" s="471"/>
    </row>
    <row r="42" spans="1:13" s="261" customFormat="1" ht="18" customHeight="1" x14ac:dyDescent="0.25">
      <c r="A42" s="9"/>
      <c r="B42" s="409"/>
      <c r="C42" s="304" t="s">
        <v>288</v>
      </c>
      <c r="D42" s="426" t="s">
        <v>19</v>
      </c>
      <c r="E42" s="452"/>
      <c r="F42" s="472">
        <v>7.5</v>
      </c>
      <c r="G42" s="473"/>
      <c r="H42" s="452"/>
      <c r="I42" s="474">
        <v>15</v>
      </c>
      <c r="J42" s="473"/>
      <c r="K42" s="452"/>
      <c r="L42" s="474">
        <v>12.5</v>
      </c>
      <c r="M42" s="473"/>
    </row>
    <row r="43" spans="1:13" s="261" customFormat="1" ht="18" customHeight="1" x14ac:dyDescent="0.25">
      <c r="A43" s="9"/>
      <c r="B43" s="409"/>
      <c r="C43" s="324" t="s">
        <v>307</v>
      </c>
      <c r="D43" s="422" t="s">
        <v>318</v>
      </c>
      <c r="E43" s="452"/>
      <c r="F43" s="462">
        <f>(4*F13*(F42/100))</f>
        <v>3.9</v>
      </c>
      <c r="G43" s="460"/>
      <c r="H43" s="452"/>
      <c r="I43" s="462">
        <f>(4*I13*(I42/100))</f>
        <v>13.2</v>
      </c>
      <c r="J43" s="460"/>
      <c r="K43" s="452"/>
      <c r="L43" s="462">
        <f>(4*L13*(L42/100))</f>
        <v>17.5</v>
      </c>
      <c r="M43" s="460"/>
    </row>
    <row r="44" spans="1:13" s="261" customFormat="1" ht="18" customHeight="1" x14ac:dyDescent="0.25">
      <c r="A44" s="9"/>
      <c r="B44" s="409"/>
      <c r="C44" s="290" t="s">
        <v>306</v>
      </c>
      <c r="D44" s="423" t="s">
        <v>318</v>
      </c>
      <c r="E44" s="452"/>
      <c r="F44" s="470">
        <v>0</v>
      </c>
      <c r="G44" s="460"/>
      <c r="H44" s="452"/>
      <c r="I44" s="470">
        <v>0</v>
      </c>
      <c r="J44" s="460"/>
      <c r="K44" s="452"/>
      <c r="L44" s="470">
        <v>0</v>
      </c>
      <c r="M44" s="460"/>
    </row>
    <row r="45" spans="1:13" s="261" customFormat="1" ht="18" customHeight="1" x14ac:dyDescent="0.25">
      <c r="A45" s="9"/>
      <c r="B45" s="409"/>
      <c r="C45" s="290" t="s">
        <v>38</v>
      </c>
      <c r="D45" s="423" t="s">
        <v>318</v>
      </c>
      <c r="E45" s="452"/>
      <c r="F45" s="475">
        <v>0</v>
      </c>
      <c r="G45" s="445"/>
      <c r="H45" s="452"/>
      <c r="I45" s="476">
        <v>0</v>
      </c>
      <c r="J45" s="445"/>
      <c r="K45" s="452"/>
      <c r="L45" s="476">
        <v>0</v>
      </c>
      <c r="M45" s="445"/>
    </row>
    <row r="46" spans="1:13" s="261" customFormat="1" ht="18" customHeight="1" thickBot="1" x14ac:dyDescent="0.3">
      <c r="A46" s="45"/>
      <c r="B46" s="410"/>
      <c r="C46" s="294" t="s">
        <v>273</v>
      </c>
      <c r="D46" s="427" t="s">
        <v>318</v>
      </c>
      <c r="E46" s="452"/>
      <c r="F46" s="475">
        <f>F41+F43+F44+F45</f>
        <v>8.9</v>
      </c>
      <c r="G46" s="445"/>
      <c r="H46" s="452"/>
      <c r="I46" s="475">
        <f>I41+I43+I44+I45</f>
        <v>23.2</v>
      </c>
      <c r="J46" s="445"/>
      <c r="K46" s="452"/>
      <c r="L46" s="475">
        <f>L41+L43+L44+L45</f>
        <v>47.5</v>
      </c>
      <c r="M46" s="445"/>
    </row>
    <row r="47" spans="1:13" s="261" customFormat="1" ht="18" customHeight="1" thickBot="1" x14ac:dyDescent="0.3">
      <c r="A47" s="45"/>
      <c r="B47" s="296"/>
      <c r="C47" s="297"/>
      <c r="D47" s="282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s="273" customFormat="1" ht="18" customHeight="1" thickBot="1" x14ac:dyDescent="0.3">
      <c r="A48" s="259"/>
      <c r="B48" s="299" t="s">
        <v>264</v>
      </c>
      <c r="C48" s="291" t="s">
        <v>300</v>
      </c>
      <c r="D48" s="336" t="s">
        <v>318</v>
      </c>
      <c r="E48" s="275">
        <f>(E9+E39+E40)-(F43+F44+F45)</f>
        <v>-2.4922077922077923</v>
      </c>
      <c r="F48" s="274">
        <f>(F9+F39+F40)-(F43-F44-F45)</f>
        <v>0.4343283582089561</v>
      </c>
      <c r="G48" s="276">
        <f>(G9+G39+G40)-(F43-F44-F45)</f>
        <v>0.77761194029850822</v>
      </c>
      <c r="H48" s="275">
        <f>(H9+H39+H40)-(I43+I44+I45)</f>
        <v>-11.188311688311687</v>
      </c>
      <c r="I48" s="274">
        <f>(I9+I39+I40)-(I43-I44-I45)</f>
        <v>-6.7985074626865654</v>
      </c>
      <c r="J48" s="276">
        <f>(J9+J39+J40)-(I43-I44-I45)</f>
        <v>-5.5373134328358198</v>
      </c>
      <c r="K48" s="275">
        <f>(K9+K39+K40)-(L43+L44+L45)</f>
        <v>-14.884415584415585</v>
      </c>
      <c r="L48" s="274">
        <f>(L9+L39+L40)-(L43-L44-L45)</f>
        <v>-9.031343283582089</v>
      </c>
      <c r="M48" s="276">
        <f>(M9+M39+M40)-(L43-L44-L45)</f>
        <v>-6.8522388059701491</v>
      </c>
    </row>
    <row r="49" spans="1:13" s="261" customFormat="1" ht="18" customHeight="1" x14ac:dyDescent="0.25">
      <c r="A49" s="45"/>
      <c r="B49" s="300" t="s">
        <v>266</v>
      </c>
      <c r="C49" s="292" t="s">
        <v>304</v>
      </c>
      <c r="D49" s="343" t="s">
        <v>318</v>
      </c>
      <c r="E49" s="234">
        <f>(E9+F14+E39+E40)-(F43+F44+F45)</f>
        <v>16.877792207792208</v>
      </c>
      <c r="F49" s="233">
        <f>(F9+F14+F39+F40)-(F43+F44+F45)</f>
        <v>19.804328358208956</v>
      </c>
      <c r="G49" s="235">
        <f>(G9+F14+G39+G40)-(F43+F44+F45)</f>
        <v>20.147611940298511</v>
      </c>
      <c r="H49" s="234">
        <f>(H9+I14+H39+H40)-(I43+I44+I45)</f>
        <v>23.791688311688315</v>
      </c>
      <c r="I49" s="233">
        <f>(I9+I14+I39+I40)-(I43+I44+I45)</f>
        <v>28.181492537313435</v>
      </c>
      <c r="J49" s="235">
        <f>(J9+I14+J39+J40)-(I43+I44+I45)</f>
        <v>29.442686567164177</v>
      </c>
      <c r="K49" s="234">
        <f>(K9+L14+K39+K40)-(L43+L44+L45)</f>
        <v>51.615584415584422</v>
      </c>
      <c r="L49" s="233">
        <f>(L9+L14+L39+L40)-(L43+L44+L45)</f>
        <v>57.468656716417925</v>
      </c>
      <c r="M49" s="251">
        <f>(M9+L14+M39+M40)-(L43+L44+L45)</f>
        <v>59.647761194029854</v>
      </c>
    </row>
    <row r="50" spans="1:13" s="273" customFormat="1" ht="18" customHeight="1" thickBot="1" x14ac:dyDescent="0.3">
      <c r="A50" s="259"/>
      <c r="B50" s="344" t="s">
        <v>267</v>
      </c>
      <c r="C50" s="345" t="s">
        <v>301</v>
      </c>
      <c r="D50" s="346" t="s">
        <v>318</v>
      </c>
      <c r="E50" s="339">
        <f>(E9+F14+E39+E40)-((F41-F35)+F43+F44+F45)</f>
        <v>12.877792207792206</v>
      </c>
      <c r="F50" s="340">
        <f>(F9+F14+F39+F40)-((F41-F35)+F43+F44+F45)</f>
        <v>15.804328358208954</v>
      </c>
      <c r="G50" s="341">
        <f>(G9+F14+G39+G40)-((F41-F35)+F43+F44+F45)</f>
        <v>16.147611940298511</v>
      </c>
      <c r="H50" s="339">
        <f>(H9+I14+H39+H40)-((I41-I35)+I43+I44+I45)</f>
        <v>15.791688311688315</v>
      </c>
      <c r="I50" s="340">
        <f>(I9+I14+I39+I40)-((I41-I35)+I43+I44+I45)</f>
        <v>20.181492537313435</v>
      </c>
      <c r="J50" s="341">
        <f>(J9+I14+J39+J40)-((I41-I35)+I43+I44+I45)</f>
        <v>21.442686567164177</v>
      </c>
      <c r="K50" s="339">
        <f>(K9+L14+K39+K40)-((L41-L35)+L43+L44+L45)</f>
        <v>27.615584415584422</v>
      </c>
      <c r="L50" s="340">
        <f>(L9+L14+L39+L40)-((L41-L35)+L43+L44+L45)</f>
        <v>33.468656716417925</v>
      </c>
      <c r="M50" s="342">
        <f>(M9+L14+M39+M40)-((L41-L35)+L43+L44+L45)</f>
        <v>35.647761194029854</v>
      </c>
    </row>
    <row r="51" spans="1:13" s="261" customFormat="1" ht="18" customHeight="1" thickBot="1" x14ac:dyDescent="0.3">
      <c r="A51" s="45"/>
      <c r="B51" s="300" t="s">
        <v>268</v>
      </c>
      <c r="C51" s="292" t="s">
        <v>302</v>
      </c>
      <c r="D51" s="336" t="s">
        <v>318</v>
      </c>
      <c r="E51" s="301">
        <f>(E9+$F21+$F31+E39+E40)-($F43+$F44+$F45)</f>
        <v>0.57767720779220921</v>
      </c>
      <c r="F51" s="318">
        <f>(F9+$F21+$F31+F39+F40)-($F43+$F44+$F45)</f>
        <v>3.5042133582089563</v>
      </c>
      <c r="G51" s="319">
        <f>(G9+$F21+$F31+G39+G40)-($F43+$F44+$F45)</f>
        <v>3.8474969402985093</v>
      </c>
      <c r="H51" s="301">
        <f>(H9+$I21+$I31+H39+H40)-($I43+$I44+$I45)</f>
        <v>-5.0340096883116896</v>
      </c>
      <c r="I51" s="318">
        <f>(I9+$I21+$I31+I39+I40)-($I43+$I44+$I45)</f>
        <v>-0.64420546268656764</v>
      </c>
      <c r="J51" s="319">
        <f>(J9+$I21+$I31+J39+J40)-($I43+$I44+$I45)</f>
        <v>0.61698856716417794</v>
      </c>
      <c r="K51" s="301">
        <f>(K9+$L21+$L31+K39+K40)-($L43+$L44+$L45)</f>
        <v>-5.0934805844155839</v>
      </c>
      <c r="L51" s="318">
        <f>(L9+$L21+$L31+L39+L40)-($L43+$L44+$L45)</f>
        <v>0.75959171641790846</v>
      </c>
      <c r="M51" s="325">
        <f>(M9+$L21+$L31+M39+M40)-($L43+$L44+$L45)</f>
        <v>2.9386961940298484</v>
      </c>
    </row>
    <row r="52" spans="1:13" s="277" customFormat="1" ht="18" customHeight="1" thickBot="1" x14ac:dyDescent="0.3">
      <c r="A52" s="258"/>
      <c r="B52" s="300" t="s">
        <v>269</v>
      </c>
      <c r="C52" s="292" t="s">
        <v>303</v>
      </c>
      <c r="D52" s="336" t="s">
        <v>318</v>
      </c>
      <c r="E52" s="301">
        <f>(E9+$F24+$F32+E39+E40)-($F43+$F44+$F45)</f>
        <v>15.505354257792211</v>
      </c>
      <c r="F52" s="318">
        <f>(F9+$F24+$F32+F39+F40)-($F43+$F44+$F45)</f>
        <v>18.431890408208961</v>
      </c>
      <c r="G52" s="319">
        <f>(G9+$F24+$F32+G39+G40)-($F43+$F44+$F45)</f>
        <v>18.775173990298516</v>
      </c>
      <c r="H52" s="301">
        <f>(H9+$I24+$I32+H39+H40+$I35)-($I43+$I44+$I45)</f>
        <v>26.892007971688319</v>
      </c>
      <c r="I52" s="318">
        <f>(I9+$I24+$I32+I39+I40+$I35)-($I43+$I44+$I45)</f>
        <v>31.281812197313439</v>
      </c>
      <c r="J52" s="319">
        <f>(J9+$I24+$I32+J39+J40+$I35)-($I43+$I44+$I45)</f>
        <v>32.543006227164184</v>
      </c>
      <c r="K52" s="301">
        <f>(K9+$L24+$L32+K39+K40+$L35)-($L43+$L44+$L45)</f>
        <v>48.51609296558442</v>
      </c>
      <c r="L52" s="318">
        <f>(L9+$L24+$L32+L39+L40+$L35)-($L43+$L44+$L45)</f>
        <v>54.369165266417923</v>
      </c>
      <c r="M52" s="320">
        <f>(M9+$L24+$L32+M39+M40+$L35)-($L43+$L44+$L45)</f>
        <v>56.548269744029852</v>
      </c>
    </row>
    <row r="53" spans="1:13" s="261" customFormat="1" ht="18" customHeight="1" thickBot="1" x14ac:dyDescent="0.3">
      <c r="A53" s="9"/>
      <c r="B53" s="386" t="s">
        <v>265</v>
      </c>
      <c r="C53" s="387" t="s">
        <v>310</v>
      </c>
      <c r="D53" s="388" t="s">
        <v>318</v>
      </c>
      <c r="E53" s="478">
        <f>(E9+$F29+$F33+E39+E40)-(($F41-$F35)+$F43+$F44+$F45)</f>
        <v>9.6177692077922092</v>
      </c>
      <c r="F53" s="479">
        <f>(F9+$F29+$F33+F39+F40)-(($F41-$F35)+$F43+$F44+$F45)</f>
        <v>12.544305358208957</v>
      </c>
      <c r="G53" s="480">
        <f>(G9+$F29+$F33+G39+G40)-((F41-F35)+$F43+$F44+$F45)</f>
        <v>12.887588940298508</v>
      </c>
      <c r="H53" s="478">
        <f>(H9+$I29+$I33+H39+H40)-(($I41-$I35)+$I43+$I44+$I45)</f>
        <v>10.02654871168831</v>
      </c>
      <c r="I53" s="479">
        <f>(I9+$I29+$I33+I39+I40)-(($I41-$I35)+$I43+$I44+$I45)</f>
        <v>14.41635293731343</v>
      </c>
      <c r="J53" s="479">
        <f>(J9+$I29+$I33+J39+J40)-(($I41-$I35)+$I43+$I44+$I45)</f>
        <v>15.677546967164179</v>
      </c>
      <c r="K53" s="478">
        <f>(K9+$L29+$L33+K39+K40)-(($L41-$L35)+$L43+$L44+$L45)</f>
        <v>16.27377141558442</v>
      </c>
      <c r="L53" s="479">
        <f>(L9+$L29+$L33+L39+L40)-(($L41-$L35)+$L43+$L44+$L45)</f>
        <v>22.126843716417916</v>
      </c>
      <c r="M53" s="481">
        <f>(M9+$L29+$L33+M39+M40)-(($L41-$L35)+$L43+$L44+$L45)</f>
        <v>24.305948194029853</v>
      </c>
    </row>
    <row r="54" spans="1:13" s="293" customFormat="1" ht="18" customHeight="1" x14ac:dyDescent="0.25">
      <c r="A54" s="38"/>
      <c r="B54" s="383"/>
      <c r="C54" s="384" t="s">
        <v>275</v>
      </c>
      <c r="D54" s="385" t="s">
        <v>318</v>
      </c>
      <c r="E54" s="482"/>
      <c r="F54" s="483"/>
      <c r="G54" s="484"/>
      <c r="H54" s="484"/>
      <c r="I54" s="483" t="s">
        <v>327</v>
      </c>
      <c r="J54" s="484"/>
      <c r="K54" s="484"/>
      <c r="L54" s="483"/>
      <c r="M54" s="484"/>
    </row>
    <row r="55" spans="1:13" s="261" customFormat="1" ht="18" customHeight="1" x14ac:dyDescent="0.25">
      <c r="A55" s="9"/>
      <c r="B55" s="415"/>
      <c r="C55" s="416" t="s">
        <v>325</v>
      </c>
      <c r="D55" s="417" t="s">
        <v>323</v>
      </c>
      <c r="E55" s="452"/>
      <c r="F55" s="477">
        <v>2</v>
      </c>
      <c r="G55" s="485"/>
      <c r="H55" s="452"/>
      <c r="I55" s="477">
        <v>2.5</v>
      </c>
      <c r="J55" s="485"/>
      <c r="K55" s="452"/>
      <c r="L55" s="477" t="s">
        <v>464</v>
      </c>
      <c r="M55" s="485"/>
    </row>
    <row r="56" spans="1:13" s="261" customFormat="1" x14ac:dyDescent="0.25">
      <c r="A56" s="46"/>
      <c r="B56" s="260"/>
      <c r="C56" s="47"/>
      <c r="D56" s="11"/>
      <c r="E56" s="11"/>
      <c r="F56" s="11"/>
      <c r="G56" s="9"/>
      <c r="H56" s="9"/>
      <c r="I56" s="9"/>
      <c r="J56" s="9"/>
      <c r="K56" s="11"/>
      <c r="L56" s="11"/>
      <c r="M56" s="11"/>
    </row>
    <row r="57" spans="1:13" s="261" customFormat="1" x14ac:dyDescent="0.25">
      <c r="A57" s="9"/>
      <c r="B57" s="260"/>
      <c r="C57" s="11"/>
      <c r="D57" s="11"/>
      <c r="E57" s="11"/>
      <c r="F57" s="11"/>
      <c r="G57" s="9"/>
      <c r="H57" s="9"/>
      <c r="I57" s="9"/>
      <c r="J57" s="9"/>
      <c r="K57" s="11"/>
      <c r="L57" s="11"/>
      <c r="M57" s="11"/>
    </row>
    <row r="58" spans="1:13" s="261" customFormat="1" x14ac:dyDescent="0.25">
      <c r="A58" s="9"/>
      <c r="B58" s="260"/>
      <c r="C58" s="11"/>
      <c r="D58" s="11"/>
      <c r="E58" s="11"/>
      <c r="F58" s="11"/>
      <c r="G58" s="9"/>
      <c r="H58" s="9"/>
      <c r="I58" s="9"/>
      <c r="J58" s="9"/>
      <c r="K58" s="11"/>
      <c r="L58" s="11"/>
      <c r="M58" s="11"/>
    </row>
    <row r="59" spans="1:13" s="261" customFormat="1" x14ac:dyDescent="0.25">
      <c r="A59" s="9"/>
      <c r="B59" s="260"/>
      <c r="C59" s="11"/>
      <c r="D59" s="11"/>
      <c r="E59" s="11"/>
      <c r="F59" s="11"/>
      <c r="G59" s="9"/>
      <c r="H59" s="9"/>
      <c r="I59" s="9"/>
      <c r="J59" s="9"/>
      <c r="K59" s="11"/>
      <c r="L59" s="11"/>
      <c r="M59" s="11"/>
    </row>
    <row r="60" spans="1:13" s="261" customFormat="1" x14ac:dyDescent="0.25">
      <c r="A60" s="9"/>
      <c r="B60" s="260"/>
      <c r="C60" s="11"/>
      <c r="D60" s="11"/>
      <c r="E60" s="11"/>
      <c r="F60" s="11"/>
      <c r="G60" s="9"/>
      <c r="H60" s="9"/>
      <c r="I60" s="9"/>
      <c r="J60" s="9"/>
      <c r="K60" s="11"/>
      <c r="L60" s="11"/>
      <c r="M60" s="11"/>
    </row>
    <row r="61" spans="1:13" s="261" customFormat="1" x14ac:dyDescent="0.25">
      <c r="A61" s="9"/>
      <c r="B61" s="260"/>
      <c r="C61" s="11"/>
      <c r="D61" s="11"/>
      <c r="E61" s="11"/>
      <c r="F61" s="11"/>
      <c r="G61" s="9"/>
      <c r="H61" s="9"/>
      <c r="I61" s="9"/>
      <c r="J61" s="9"/>
      <c r="K61" s="11"/>
      <c r="L61" s="11"/>
      <c r="M61" s="11"/>
    </row>
    <row r="62" spans="1:13" s="261" customFormat="1" x14ac:dyDescent="0.25">
      <c r="A62" s="9"/>
      <c r="B62" s="260"/>
      <c r="C62" s="11"/>
      <c r="D62" s="11"/>
      <c r="E62" s="11"/>
      <c r="F62" s="11"/>
      <c r="G62" s="9"/>
      <c r="H62" s="9"/>
      <c r="I62" s="9"/>
      <c r="J62" s="9"/>
      <c r="K62" s="11"/>
      <c r="L62" s="11"/>
      <c r="M62" s="11"/>
    </row>
    <row r="63" spans="1:13" s="261" customFormat="1" x14ac:dyDescent="0.25">
      <c r="A63" s="9"/>
      <c r="B63" s="260"/>
      <c r="C63" s="11"/>
      <c r="D63" s="11"/>
      <c r="E63" s="11"/>
      <c r="F63" s="11"/>
      <c r="G63" s="9"/>
      <c r="H63" s="9"/>
      <c r="I63" s="9"/>
      <c r="J63" s="9"/>
      <c r="K63" s="11"/>
      <c r="L63" s="11"/>
      <c r="M63" s="11"/>
    </row>
    <row r="64" spans="1:13" s="261" customFormat="1" x14ac:dyDescent="0.25">
      <c r="A64" s="9"/>
      <c r="B64" s="15"/>
      <c r="C64" s="11"/>
      <c r="D64" s="11"/>
      <c r="E64" s="11"/>
      <c r="F64" s="11"/>
      <c r="G64" s="9"/>
      <c r="H64" s="9"/>
      <c r="I64" s="9"/>
      <c r="J64" s="9"/>
      <c r="K64" s="11"/>
      <c r="L64" s="11"/>
      <c r="M64" s="11"/>
    </row>
    <row r="65" spans="1:13" s="261" customFormat="1" x14ac:dyDescent="0.25">
      <c r="A65" s="9"/>
      <c r="B65" s="260"/>
      <c r="C65" s="11"/>
      <c r="D65" s="11"/>
      <c r="E65" s="11"/>
      <c r="F65" s="11"/>
      <c r="G65" s="9"/>
      <c r="H65" s="9"/>
      <c r="I65" s="9"/>
      <c r="J65" s="9"/>
      <c r="K65" s="11"/>
      <c r="L65" s="11"/>
      <c r="M65" s="11"/>
    </row>
    <row r="66" spans="1:13" s="261" customFormat="1" x14ac:dyDescent="0.25">
      <c r="A66" s="9"/>
      <c r="B66" s="260"/>
      <c r="C66" s="11"/>
      <c r="D66" s="11"/>
      <c r="E66" s="11"/>
      <c r="F66" s="11"/>
      <c r="G66" s="9"/>
      <c r="H66" s="9"/>
      <c r="I66" s="9"/>
      <c r="J66" s="9"/>
      <c r="K66" s="11"/>
      <c r="L66" s="11"/>
      <c r="M66" s="11"/>
    </row>
    <row r="67" spans="1:13" s="261" customFormat="1" x14ac:dyDescent="0.25">
      <c r="A67" s="9"/>
      <c r="B67" s="260"/>
      <c r="C67" s="11"/>
      <c r="D67" s="11"/>
      <c r="E67" s="11"/>
      <c r="F67" s="11"/>
      <c r="G67" s="9"/>
      <c r="H67" s="9"/>
      <c r="I67" s="9"/>
      <c r="J67" s="9"/>
      <c r="K67" s="11"/>
      <c r="L67" s="11"/>
      <c r="M67" s="11"/>
    </row>
    <row r="68" spans="1:13" s="261" customFormat="1" x14ac:dyDescent="0.25">
      <c r="A68" s="9"/>
      <c r="B68" s="260"/>
      <c r="C68" s="11"/>
      <c r="D68" s="11"/>
      <c r="E68" s="11"/>
      <c r="F68" s="11"/>
      <c r="G68" s="9"/>
      <c r="H68" s="9"/>
      <c r="I68" s="9"/>
      <c r="J68" s="9"/>
      <c r="K68" s="11"/>
      <c r="L68" s="11"/>
      <c r="M68" s="11"/>
    </row>
    <row r="69" spans="1:13" s="261" customFormat="1" x14ac:dyDescent="0.25">
      <c r="A69" s="9"/>
      <c r="B69" s="260"/>
      <c r="C69" s="11"/>
      <c r="D69" s="11"/>
      <c r="E69" s="11"/>
      <c r="F69" s="11"/>
      <c r="G69" s="9"/>
      <c r="H69" s="9"/>
      <c r="I69" s="9"/>
      <c r="J69" s="9"/>
      <c r="K69" s="11"/>
      <c r="L69" s="11"/>
      <c r="M69" s="11"/>
    </row>
    <row r="70" spans="1:13" s="261" customFormat="1" x14ac:dyDescent="0.25">
      <c r="A70" s="9"/>
      <c r="B70" s="260"/>
      <c r="C70" s="11"/>
      <c r="D70" s="11"/>
      <c r="E70" s="11"/>
      <c r="F70" s="11"/>
      <c r="G70" s="9"/>
      <c r="H70" s="9"/>
      <c r="I70" s="9"/>
      <c r="J70" s="9"/>
      <c r="K70" s="11"/>
      <c r="L70" s="11"/>
      <c r="M70" s="11"/>
    </row>
    <row r="71" spans="1:13" s="261" customFormat="1" x14ac:dyDescent="0.25">
      <c r="A71" s="9"/>
      <c r="B71" s="260"/>
      <c r="C71" s="11"/>
      <c r="D71" s="11"/>
      <c r="E71" s="11"/>
      <c r="F71" s="11"/>
      <c r="G71" s="9"/>
      <c r="H71" s="9"/>
      <c r="I71" s="9"/>
      <c r="J71" s="9"/>
      <c r="K71" s="11"/>
      <c r="L71" s="11"/>
      <c r="M71" s="11"/>
    </row>
    <row r="72" spans="1:13" s="261" customFormat="1" x14ac:dyDescent="0.25">
      <c r="A72" s="9"/>
      <c r="B72" s="260"/>
      <c r="C72" s="11"/>
      <c r="D72" s="11"/>
      <c r="E72" s="11"/>
      <c r="F72" s="11"/>
      <c r="G72" s="9"/>
      <c r="H72" s="9"/>
      <c r="I72" s="9"/>
      <c r="J72" s="9"/>
      <c r="K72" s="11"/>
      <c r="L72" s="11"/>
      <c r="M72" s="11"/>
    </row>
    <row r="73" spans="1:13" s="261" customFormat="1" x14ac:dyDescent="0.25">
      <c r="A73" s="9"/>
      <c r="B73" s="260"/>
      <c r="C73" s="11"/>
      <c r="D73" s="11"/>
      <c r="E73" s="11"/>
      <c r="F73" s="11"/>
      <c r="G73" s="9"/>
      <c r="H73" s="9"/>
      <c r="I73" s="9"/>
      <c r="J73" s="9"/>
      <c r="K73" s="11"/>
      <c r="L73" s="11"/>
      <c r="M73" s="11"/>
    </row>
    <row r="74" spans="1:13" s="261" customFormat="1" x14ac:dyDescent="0.25">
      <c r="A74" s="9"/>
      <c r="B74" s="260"/>
      <c r="C74" s="11"/>
      <c r="D74" s="11"/>
      <c r="E74" s="11"/>
      <c r="F74" s="11"/>
      <c r="G74" s="9"/>
      <c r="H74" s="9"/>
      <c r="I74" s="9"/>
      <c r="J74" s="9"/>
      <c r="K74" s="11"/>
      <c r="L74" s="11"/>
      <c r="M74" s="11"/>
    </row>
  </sheetData>
  <conditionalFormatting sqref="B40:C40 B5 B38:B39 C39 C29 C37 I29 L29 C31:C33 I31:I33 L31:L33 C35 I35 L35 I10:I11 L10:L11 E39:M39 D34 D30 D36 F29:F37 D11 B10:D10 F10:F11">
    <cfRule type="expression" dxfId="37" priority="21">
      <formula>#REF!=TRUE</formula>
    </cfRule>
  </conditionalFormatting>
  <conditionalFormatting sqref="B47:M47 I41:I46 L41:L46 B41:C41 B43:C46 B42:D42 F41:F46">
    <cfRule type="expression" dxfId="36" priority="20">
      <formula>#REF!=TRUE</formula>
    </cfRule>
  </conditionalFormatting>
  <conditionalFormatting sqref="B49:C49 E49:M49 B51:C51 B48:M48 E51:M51">
    <cfRule type="expression" dxfId="35" priority="19">
      <formula>#REF!=TRUE</formula>
    </cfRule>
  </conditionalFormatting>
  <conditionalFormatting sqref="C30">
    <cfRule type="expression" dxfId="34" priority="18">
      <formula>#REF!=TRUE</formula>
    </cfRule>
  </conditionalFormatting>
  <conditionalFormatting sqref="C36">
    <cfRule type="expression" dxfId="33" priority="17">
      <formula>#REF!=TRUE</formula>
    </cfRule>
  </conditionalFormatting>
  <conditionalFormatting sqref="D49 D51 D54">
    <cfRule type="expression" dxfId="32" priority="16">
      <formula>#REF!=TRUE</formula>
    </cfRule>
  </conditionalFormatting>
  <conditionalFormatting sqref="I37">
    <cfRule type="expression" dxfId="31" priority="15">
      <formula>#REF!=TRUE</formula>
    </cfRule>
  </conditionalFormatting>
  <conditionalFormatting sqref="L37">
    <cfRule type="expression" dxfId="30" priority="14">
      <formula>#REF!=TRUE</formula>
    </cfRule>
  </conditionalFormatting>
  <conditionalFormatting sqref="E50:M50 B50:C50">
    <cfRule type="expression" dxfId="29" priority="13">
      <formula>#REF!=TRUE</formula>
    </cfRule>
  </conditionalFormatting>
  <conditionalFormatting sqref="D50">
    <cfRule type="expression" dxfId="28" priority="12">
      <formula>#REF!=TRUE</formula>
    </cfRule>
  </conditionalFormatting>
  <conditionalFormatting sqref="E52:M52 B52:C52">
    <cfRule type="expression" dxfId="27" priority="11">
      <formula>#REF!=TRUE</formula>
    </cfRule>
  </conditionalFormatting>
  <conditionalFormatting sqref="D52">
    <cfRule type="expression" dxfId="26" priority="10">
      <formula>#REF!=TRUE</formula>
    </cfRule>
  </conditionalFormatting>
  <conditionalFormatting sqref="B53:C53 E53:M53">
    <cfRule type="expression" dxfId="25" priority="9">
      <formula>#REF!=TRUE</formula>
    </cfRule>
  </conditionalFormatting>
  <conditionalFormatting sqref="D53">
    <cfRule type="expression" dxfId="24" priority="8">
      <formula>#REF!=TRUE</formula>
    </cfRule>
  </conditionalFormatting>
  <conditionalFormatting sqref="E40:M40">
    <cfRule type="expression" dxfId="23" priority="7">
      <formula>#REF!=TRUE</formula>
    </cfRule>
  </conditionalFormatting>
  <conditionalFormatting sqref="I30">
    <cfRule type="expression" dxfId="22" priority="6">
      <formula>#REF!=TRUE</formula>
    </cfRule>
  </conditionalFormatting>
  <conditionalFormatting sqref="L30">
    <cfRule type="expression" dxfId="21" priority="5">
      <formula>#REF!=TRUE</formula>
    </cfRule>
  </conditionalFormatting>
  <conditionalFormatting sqref="I34">
    <cfRule type="expression" dxfId="20" priority="4">
      <formula>#REF!=TRUE</formula>
    </cfRule>
  </conditionalFormatting>
  <conditionalFormatting sqref="L34">
    <cfRule type="expression" dxfId="19" priority="3">
      <formula>#REF!=TRUE</formula>
    </cfRule>
  </conditionalFormatting>
  <conditionalFormatting sqref="I36">
    <cfRule type="expression" dxfId="18" priority="2">
      <formula>#REF!=TRUE</formula>
    </cfRule>
  </conditionalFormatting>
  <conditionalFormatting sqref="L36">
    <cfRule type="expression" dxfId="17" priority="1">
      <formula>#REF!=TRUE</formula>
    </cfRule>
  </conditionalFormatting>
  <dataValidations count="8">
    <dataValidation errorStyle="information" allowBlank="1" showInputMessage="1" showErrorMessage="1" errorTitle="% Abfuhr" error="=WENN(SUMME(E20:E22)&gt;100;&quot;Summe &gt; 100!&quot;;)" promptTitle="% Abfuhr" sqref="F26 I26 L26"/>
    <dataValidation allowBlank="1" showInputMessage="1" showErrorMessage="1" error="Diese Zelle mit &quot;Berechnungsformel&quot; kann nicht geändert werden,_x000a_Löschen ist jedoch möglich &lt;del&gt;!" sqref="F29:F30 I30 L30"/>
    <dataValidation allowBlank="1" showInputMessage="1" showErrorMessage="1" prompt="Eingabe von Ncrit (mg N/L)" sqref="F5"/>
    <dataValidation type="custom" allowBlank="1" showInputMessage="1" showErrorMessage="1" sqref="G47">
      <formula1>" =NICHT(ZELLE(""Schutz"";I43))"</formula1>
    </dataValidation>
    <dataValidation type="custom" allowBlank="1" showInputMessage="1" showErrorMessage="1" sqref="F47">
      <formula1>" =NICHT(ZELLE(""Schutz"";H43))"</formula1>
    </dataValidation>
    <dataValidation type="custom" allowBlank="1" showInputMessage="1" showErrorMessage="1" error="Diese Zelle mit &quot;Berechnungsformel&quot; kann nicht geändert werden,_x000a_Löschen ist jedoch möglich &lt;del&gt;!" sqref="L43">
      <formula1>" =NICHT(ZELLE(""Schutz"";L40))"</formula1>
    </dataValidation>
    <dataValidation type="custom" allowBlank="1" showInputMessage="1" showErrorMessage="1" error="Diese Zelle mit &quot;Berechnungsformel&quot; kann nicht geändert werden,_x000a_Löschen ist jedoch möglich &lt;del&gt;!" sqref="I43">
      <formula1>" =NICHT(ZELLE(""Schutz"";I40))"</formula1>
    </dataValidation>
    <dataValidation type="custom" allowBlank="1" showInputMessage="1" showErrorMessage="1" sqref="I46 L46 H47:M47">
      <formula1>NOT(CELL("Schutz",H46))</formula1>
    </dataValidation>
  </dataValidations>
  <printOptions gridLines="1"/>
  <pageMargins left="0.78740157480314965" right="0.78740157480314965" top="0.78740157480314965" bottom="0.78740157480314965" header="0.31496062992125984" footer="0.31496062992125984"/>
  <pageSetup paperSize="9" scale="42" orientation="portrait" r:id="rId1"/>
  <headerFooter>
    <oddFooter>&amp;LCL Datenmappe 2024&amp;CBlatt &amp;A, Seite &amp;P von &amp;N&amp;RDruck 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R62"/>
  <sheetViews>
    <sheetView workbookViewId="0"/>
  </sheetViews>
  <sheetFormatPr baseColWidth="10" defaultColWidth="11.42578125" defaultRowHeight="15.75" x14ac:dyDescent="0.25"/>
  <cols>
    <col min="1" max="1" width="2.140625" style="1" customWidth="1"/>
    <col min="2" max="2" width="8.5703125" customWidth="1"/>
    <col min="3" max="3" width="73.7109375" style="2" customWidth="1"/>
    <col min="4" max="4" width="26.7109375" style="2" customWidth="1"/>
    <col min="5" max="5" width="15.85546875" style="2" customWidth="1"/>
    <col min="6" max="6" width="14.85546875" style="2" customWidth="1"/>
    <col min="7" max="7" width="16.7109375" style="1" customWidth="1"/>
    <col min="8" max="8" width="17.28515625" style="1" customWidth="1"/>
    <col min="9" max="9" width="14.42578125" style="1" customWidth="1"/>
    <col min="10" max="10" width="13.140625" style="1" customWidth="1"/>
    <col min="11" max="12" width="16.28515625" style="2" customWidth="1"/>
    <col min="13" max="13" width="14.140625" style="2" customWidth="1"/>
    <col min="14" max="14" width="4.85546875" customWidth="1"/>
    <col min="15" max="15" width="60.7109375" customWidth="1"/>
    <col min="16" max="16" width="15.42578125" customWidth="1"/>
    <col min="17" max="17" width="15.140625" customWidth="1"/>
    <col min="18" max="18" width="14.85546875" customWidth="1"/>
    <col min="19" max="20" width="14.42578125" customWidth="1"/>
    <col min="21" max="21" width="16.7109375" customWidth="1"/>
    <col min="22" max="22" width="103.42578125" hidden="1" customWidth="1"/>
    <col min="23" max="23" width="182.28515625" hidden="1" customWidth="1" collapsed="1"/>
    <col min="24" max="24" width="57" hidden="1" customWidth="1"/>
    <col min="25" max="25" width="11.42578125" hidden="1" customWidth="1" collapsed="1"/>
    <col min="26" max="33" width="11.42578125" hidden="1" customWidth="1"/>
    <col min="34" max="34" width="3.7109375" hidden="1" customWidth="1"/>
    <col min="35" max="35" width="57.140625" hidden="1" customWidth="1"/>
    <col min="36" max="42" width="0" hidden="1" customWidth="1"/>
    <col min="45" max="16384" width="11.42578125" style="2"/>
  </cols>
  <sheetData>
    <row r="1" spans="1:44" ht="18" customHeight="1" x14ac:dyDescent="0.3">
      <c r="A1" s="9"/>
      <c r="B1" s="10"/>
      <c r="C1" s="11"/>
      <c r="D1" s="12"/>
      <c r="E1" s="11"/>
      <c r="F1" s="13"/>
      <c r="G1" s="14"/>
      <c r="H1" s="14"/>
      <c r="I1" s="14"/>
      <c r="J1" s="14"/>
      <c r="K1" s="14"/>
      <c r="L1" s="11"/>
      <c r="M1" s="14"/>
      <c r="N1" s="10"/>
    </row>
    <row r="2" spans="1:44" ht="19.5" thickBot="1" x14ac:dyDescent="0.35">
      <c r="A2" s="9"/>
      <c r="B2" s="208" t="s">
        <v>248</v>
      </c>
      <c r="C2" s="11"/>
      <c r="D2" s="12"/>
      <c r="E2" s="11"/>
      <c r="F2" s="11"/>
      <c r="G2" s="15"/>
      <c r="H2" s="16"/>
      <c r="I2" s="16"/>
      <c r="J2" s="17"/>
      <c r="K2" s="17"/>
      <c r="L2" s="17"/>
      <c r="M2" s="17"/>
      <c r="N2" s="10"/>
    </row>
    <row r="3" spans="1:44" ht="16.5" customHeight="1" x14ac:dyDescent="0.35">
      <c r="A3" s="9"/>
      <c r="B3" s="3"/>
      <c r="C3" s="4"/>
      <c r="D3" s="18"/>
      <c r="E3" s="19" t="s">
        <v>49</v>
      </c>
      <c r="F3" s="209" t="str">
        <f ca="1">IF(ISERROR(VLOOKUP($D$6,CLNemp_tbl_31[#All],2,FALSE)),"k. A.",VLOOKUP($D$6,CLNemp_tbl_31[#All],2,FALSE))</f>
        <v>k. A.</v>
      </c>
      <c r="G3" s="20" t="s">
        <v>0</v>
      </c>
      <c r="H3" s="209" t="str">
        <f ca="1">IF(ISERROR(VLOOKUP($D$6,CLNemp_tbl_31[#All],4,FALSE)),"k. A.",VLOOKUP($D$6,CLNemp_tbl_31[#All],4,FALSE))</f>
        <v>k. A.</v>
      </c>
      <c r="I3" s="77" t="s">
        <v>1</v>
      </c>
      <c r="J3" s="211" t="str">
        <f ca="1">IF(ISERROR(VLOOKUP($D$6,CLNemp_tbl_31[#All],7,FALSE)),"k. A.",VLOOKUP($D$6,CLNemp_tbl_31[#All],7,FALSE))</f>
        <v>k. A.</v>
      </c>
      <c r="K3" s="608" t="s">
        <v>51</v>
      </c>
      <c r="L3" s="608"/>
      <c r="M3" s="609"/>
      <c r="N3" s="10"/>
      <c r="O3" s="610" t="s">
        <v>53</v>
      </c>
      <c r="P3" s="611"/>
      <c r="Q3" s="611"/>
      <c r="R3" s="612"/>
    </row>
    <row r="4" spans="1:44" ht="17.25" customHeight="1" thickBot="1" x14ac:dyDescent="0.4">
      <c r="A4" s="9"/>
      <c r="B4" s="5"/>
      <c r="C4" s="6"/>
      <c r="D4" s="21"/>
      <c r="E4" s="22" t="s">
        <v>50</v>
      </c>
      <c r="F4" s="210" t="str">
        <f ca="1">IF(ISERROR(VLOOKUP($D$6,CLNemp_tbl_31[#All],5,FALSE)),"k. A.",VLOOKUP($D$6,CLNemp_tbl_31[#All],5,FALSE))</f>
        <v>k. A.</v>
      </c>
      <c r="G4" s="23" t="s">
        <v>0</v>
      </c>
      <c r="H4" s="210" t="str">
        <f ca="1">IF(ISERROR(VLOOKUP($D$6,CLNemp_tbl_31[#All],6,FALSE)),"k. A.",VLOOKUP($D$6,CLNemp_tbl_31[#All],6,FALSE))</f>
        <v>k. A.</v>
      </c>
      <c r="I4" s="78"/>
      <c r="J4" s="212"/>
      <c r="K4" s="613" t="s">
        <v>52</v>
      </c>
      <c r="L4" s="613"/>
      <c r="M4" s="614"/>
      <c r="N4" s="10"/>
      <c r="O4" s="229" t="s">
        <v>8</v>
      </c>
      <c r="P4" s="230" t="s">
        <v>250</v>
      </c>
      <c r="Q4" s="230" t="s">
        <v>251</v>
      </c>
      <c r="R4" s="230" t="s">
        <v>252</v>
      </c>
    </row>
    <row r="5" spans="1:44" ht="19.5" customHeight="1" thickBot="1" x14ac:dyDescent="0.4">
      <c r="A5" s="9"/>
      <c r="B5" s="7"/>
      <c r="C5" s="214" t="s">
        <v>2</v>
      </c>
      <c r="D5" s="215" t="s">
        <v>3</v>
      </c>
      <c r="E5" s="215" t="str">
        <f ca="1">IF(ISERROR(VLOOKUP($D$6,CLNemp_tbl_31[],11,FALSE)),"k. A.",VLOOKUP($D$6,CLNemp_tbl_31[],11,FALSE))</f>
        <v>k. A.</v>
      </c>
      <c r="F5" s="216" t="s">
        <v>4</v>
      </c>
      <c r="G5" s="214" t="str">
        <f ca="1">IF(ISERROR(VLOOKUP($D$6,CLNemp_tbl_31[],12,FALSE)),"k. A.",VLOOKUP($D$6,CLNemp_tbl_31[],12,FALSE))</f>
        <v>k. A.</v>
      </c>
      <c r="H5" s="215" t="s">
        <v>5</v>
      </c>
      <c r="I5" s="215"/>
      <c r="J5" s="24"/>
      <c r="K5" s="217" t="str">
        <f ca="1">VLOOKUP(J3,Uncertainty_txt!$B$3:$C$6,2,FALSE)</f>
        <v>keine Clemp-Schätzungen vorhanden</v>
      </c>
      <c r="L5" s="24"/>
      <c r="M5" s="25"/>
      <c r="N5" s="10"/>
      <c r="O5" s="227" t="s">
        <v>234</v>
      </c>
      <c r="P5" s="226">
        <v>75</v>
      </c>
      <c r="Q5" s="226">
        <v>75</v>
      </c>
      <c r="R5" s="226">
        <v>75</v>
      </c>
    </row>
    <row r="6" spans="1:44" ht="21" customHeight="1" thickBot="1" x14ac:dyDescent="0.35">
      <c r="A6" s="9"/>
      <c r="B6" s="26"/>
      <c r="C6" s="27" t="s">
        <v>40</v>
      </c>
      <c r="D6" s="213" t="e" cm="1">
        <f t="array" aca="1" ref="D6" ca="1">_xlfn.CONCAT(RIGHT(CELL("dateiname",N1),LEN(CELL("dateiname",N1))-FIND("]",CELL("dateiname",N1))-4))</f>
        <v>#NAME?</v>
      </c>
      <c r="E6" s="81" t="e">
        <f ca="1">VLOOKUP(D6,CLNemp_tbl_31[#All],8,FALSE)</f>
        <v>#NAME?</v>
      </c>
      <c r="F6" s="79"/>
      <c r="G6" s="79"/>
      <c r="H6" s="79"/>
      <c r="I6" s="79"/>
      <c r="J6" s="79"/>
      <c r="K6" s="79"/>
      <c r="L6" s="79"/>
      <c r="M6" s="80"/>
      <c r="N6" s="10"/>
      <c r="O6" s="227" t="s">
        <v>243</v>
      </c>
      <c r="P6" s="226">
        <v>6.5</v>
      </c>
      <c r="Q6" s="226">
        <v>6.5</v>
      </c>
      <c r="R6" s="226">
        <v>6.5</v>
      </c>
    </row>
    <row r="7" spans="1:44" ht="21.75" thickBot="1" x14ac:dyDescent="0.4">
      <c r="A7" s="9"/>
      <c r="B7" s="28"/>
      <c r="C7" s="29"/>
      <c r="D7" s="30"/>
      <c r="E7" s="207" t="s">
        <v>59</v>
      </c>
      <c r="F7" s="82"/>
      <c r="G7" s="82"/>
      <c r="H7" s="82"/>
      <c r="I7" s="82"/>
      <c r="J7" s="82"/>
      <c r="K7" s="82"/>
      <c r="L7" s="82"/>
      <c r="M7" s="83"/>
      <c r="N7" s="10"/>
      <c r="O7" s="227" t="s">
        <v>41</v>
      </c>
      <c r="P7" s="226">
        <f>2/3*100</f>
        <v>66.666666666666657</v>
      </c>
      <c r="Q7" s="226">
        <f>2/3*100</f>
        <v>66.666666666666657</v>
      </c>
      <c r="R7" s="226">
        <f>2/3*100</f>
        <v>66.666666666666657</v>
      </c>
    </row>
    <row r="8" spans="1:44" ht="24.75" customHeight="1" x14ac:dyDescent="0.3">
      <c r="A8" s="14"/>
      <c r="B8" s="218"/>
      <c r="C8" s="219" t="s">
        <v>6</v>
      </c>
      <c r="D8" s="220" t="s">
        <v>7</v>
      </c>
      <c r="E8" s="221"/>
      <c r="F8" s="222" t="s">
        <v>245</v>
      </c>
      <c r="G8" s="223"/>
      <c r="H8" s="224"/>
      <c r="I8" s="222" t="s">
        <v>247</v>
      </c>
      <c r="J8" s="223"/>
      <c r="K8" s="224"/>
      <c r="L8" s="222" t="s">
        <v>246</v>
      </c>
      <c r="M8" s="225"/>
      <c r="N8" s="10"/>
      <c r="O8" s="227" t="s">
        <v>54</v>
      </c>
      <c r="P8" s="226">
        <v>0.3</v>
      </c>
      <c r="Q8" s="226">
        <v>0.3</v>
      </c>
      <c r="R8" s="226">
        <v>0.3</v>
      </c>
    </row>
    <row r="9" spans="1:44" ht="19.5" thickBot="1" x14ac:dyDescent="0.35">
      <c r="A9" s="9"/>
      <c r="B9" s="31"/>
      <c r="C9" s="31" t="s">
        <v>8</v>
      </c>
      <c r="D9" s="32" t="s">
        <v>9</v>
      </c>
      <c r="E9" s="33" t="s">
        <v>10</v>
      </c>
      <c r="F9" s="34" t="s">
        <v>11</v>
      </c>
      <c r="G9" s="34" t="s">
        <v>12</v>
      </c>
      <c r="H9" s="35" t="s">
        <v>13</v>
      </c>
      <c r="I9" s="34" t="s">
        <v>11</v>
      </c>
      <c r="J9" s="36" t="s">
        <v>14</v>
      </c>
      <c r="K9" s="35" t="s">
        <v>13</v>
      </c>
      <c r="L9" s="36" t="s">
        <v>11</v>
      </c>
      <c r="M9" s="37" t="s">
        <v>14</v>
      </c>
      <c r="N9" s="10"/>
      <c r="O9" s="227" t="s">
        <v>55</v>
      </c>
      <c r="P9" s="226">
        <v>0.2</v>
      </c>
      <c r="Q9" s="226">
        <v>0.2</v>
      </c>
      <c r="R9" s="226">
        <v>0.2</v>
      </c>
    </row>
    <row r="10" spans="1:44" s="8" customFormat="1" ht="21.75" thickTop="1" x14ac:dyDescent="0.25">
      <c r="A10" s="38"/>
      <c r="B10" s="615" t="s">
        <v>57</v>
      </c>
      <c r="C10" s="84" t="s">
        <v>15</v>
      </c>
      <c r="D10" s="85" t="s">
        <v>42</v>
      </c>
      <c r="E10" s="176">
        <v>0.5</v>
      </c>
      <c r="F10" s="177">
        <v>0.5</v>
      </c>
      <c r="G10" s="178">
        <v>0.5</v>
      </c>
      <c r="H10" s="179">
        <v>1</v>
      </c>
      <c r="I10" s="177">
        <v>1</v>
      </c>
      <c r="J10" s="178">
        <v>1</v>
      </c>
      <c r="K10" s="179"/>
      <c r="L10" s="177"/>
      <c r="M10" s="180"/>
      <c r="N10" s="10"/>
      <c r="O10" s="227" t="s">
        <v>230</v>
      </c>
      <c r="P10" s="228">
        <v>0.2</v>
      </c>
      <c r="Q10" s="228">
        <v>0.2</v>
      </c>
      <c r="R10" s="228">
        <v>0.2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x14ac:dyDescent="0.25">
      <c r="A11" s="9"/>
      <c r="B11" s="615"/>
      <c r="C11" s="86" t="s">
        <v>16</v>
      </c>
      <c r="D11" s="85" t="s">
        <v>17</v>
      </c>
      <c r="E11" s="181">
        <v>100</v>
      </c>
      <c r="F11" s="182">
        <v>219</v>
      </c>
      <c r="G11" s="183">
        <v>257</v>
      </c>
      <c r="H11" s="182">
        <v>122</v>
      </c>
      <c r="I11" s="182">
        <v>219</v>
      </c>
      <c r="J11" s="183">
        <v>257</v>
      </c>
      <c r="K11" s="182">
        <v>122</v>
      </c>
      <c r="L11" s="182">
        <v>219</v>
      </c>
      <c r="M11" s="184">
        <v>257</v>
      </c>
      <c r="N11" s="10"/>
    </row>
    <row r="12" spans="1:44" ht="18.75" customHeight="1" x14ac:dyDescent="0.3">
      <c r="A12" s="14"/>
      <c r="B12" s="616"/>
      <c r="C12" s="87" t="s">
        <v>18</v>
      </c>
      <c r="D12" s="88" t="s">
        <v>43</v>
      </c>
      <c r="E12" s="89">
        <f t="shared" ref="E12:M12" si="0">E10*E11/100</f>
        <v>0.5</v>
      </c>
      <c r="F12" s="90">
        <f t="shared" si="0"/>
        <v>1.095</v>
      </c>
      <c r="G12" s="91">
        <f t="shared" si="0"/>
        <v>1.2849999999999999</v>
      </c>
      <c r="H12" s="90">
        <f t="shared" si="0"/>
        <v>1.22</v>
      </c>
      <c r="I12" s="90">
        <f t="shared" si="0"/>
        <v>2.19</v>
      </c>
      <c r="J12" s="91">
        <f t="shared" si="0"/>
        <v>2.57</v>
      </c>
      <c r="K12" s="90">
        <f t="shared" si="0"/>
        <v>0</v>
      </c>
      <c r="L12" s="90">
        <f t="shared" si="0"/>
        <v>0</v>
      </c>
      <c r="M12" s="92">
        <f t="shared" si="0"/>
        <v>0</v>
      </c>
      <c r="N12" s="10"/>
      <c r="R12" s="2"/>
    </row>
    <row r="13" spans="1:44" ht="15.75" customHeight="1" x14ac:dyDescent="0.3">
      <c r="A13" s="9"/>
      <c r="B13" s="617" t="s">
        <v>229</v>
      </c>
      <c r="C13" s="93" t="s">
        <v>228</v>
      </c>
      <c r="D13" s="85" t="s">
        <v>19</v>
      </c>
      <c r="E13" s="185">
        <v>5</v>
      </c>
      <c r="F13" s="186">
        <v>5</v>
      </c>
      <c r="G13" s="187">
        <v>5</v>
      </c>
      <c r="H13" s="186">
        <v>7</v>
      </c>
      <c r="I13" s="186">
        <v>7</v>
      </c>
      <c r="J13" s="187">
        <v>7</v>
      </c>
      <c r="K13" s="186">
        <v>15</v>
      </c>
      <c r="L13" s="186">
        <v>15</v>
      </c>
      <c r="M13" s="188">
        <v>15</v>
      </c>
      <c r="N13" s="10"/>
      <c r="O13" s="71"/>
      <c r="P13" s="72"/>
      <c r="Q13" s="73"/>
      <c r="R13" s="2"/>
    </row>
    <row r="14" spans="1:44" ht="15.75" customHeight="1" x14ac:dyDescent="0.3">
      <c r="A14" s="9"/>
      <c r="B14" s="604"/>
      <c r="C14" s="94" t="s">
        <v>231</v>
      </c>
      <c r="D14" s="95" t="s">
        <v>20</v>
      </c>
      <c r="E14" s="189">
        <v>12.8</v>
      </c>
      <c r="F14" s="190">
        <v>12.8</v>
      </c>
      <c r="G14" s="191">
        <v>12.8</v>
      </c>
      <c r="H14" s="192">
        <v>14.8</v>
      </c>
      <c r="I14" s="192">
        <v>14.8</v>
      </c>
      <c r="J14" s="191">
        <v>14.8</v>
      </c>
      <c r="K14" s="192">
        <v>16.8</v>
      </c>
      <c r="L14" s="192">
        <v>16.8</v>
      </c>
      <c r="M14" s="193">
        <v>16.8</v>
      </c>
      <c r="N14" s="10"/>
      <c r="O14" s="71"/>
      <c r="P14" s="72"/>
      <c r="Q14" s="73"/>
      <c r="R14" s="2"/>
    </row>
    <row r="15" spans="1:44" ht="15.75" customHeight="1" x14ac:dyDescent="0.3">
      <c r="A15" s="9"/>
      <c r="B15" s="604"/>
      <c r="C15" s="94" t="s">
        <v>232</v>
      </c>
      <c r="D15" s="95" t="s">
        <v>20</v>
      </c>
      <c r="E15" s="189">
        <v>27</v>
      </c>
      <c r="F15" s="190">
        <v>27</v>
      </c>
      <c r="G15" s="191">
        <v>27</v>
      </c>
      <c r="H15" s="192">
        <v>30</v>
      </c>
      <c r="I15" s="192">
        <v>30</v>
      </c>
      <c r="J15" s="191">
        <v>30</v>
      </c>
      <c r="K15" s="192">
        <v>33</v>
      </c>
      <c r="L15" s="192">
        <v>33</v>
      </c>
      <c r="M15" s="193">
        <v>33</v>
      </c>
      <c r="N15" s="10"/>
      <c r="O15" s="71"/>
      <c r="P15" s="72"/>
      <c r="Q15" s="73"/>
      <c r="R15" s="2"/>
    </row>
    <row r="16" spans="1:44" x14ac:dyDescent="0.25">
      <c r="A16" s="9"/>
      <c r="B16" s="604"/>
      <c r="C16" s="94" t="s">
        <v>233</v>
      </c>
      <c r="D16" s="85" t="s">
        <v>21</v>
      </c>
      <c r="E16" s="194">
        <v>100</v>
      </c>
      <c r="F16" s="96">
        <v>100</v>
      </c>
      <c r="G16" s="195">
        <v>100</v>
      </c>
      <c r="H16" s="96">
        <v>100</v>
      </c>
      <c r="I16" s="96">
        <v>100</v>
      </c>
      <c r="J16" s="195">
        <v>100</v>
      </c>
      <c r="K16" s="96"/>
      <c r="L16" s="96"/>
      <c r="M16" s="97"/>
      <c r="N16" s="10"/>
      <c r="O16" s="2"/>
      <c r="R16" s="2"/>
    </row>
    <row r="17" spans="1:15" ht="18.75" x14ac:dyDescent="0.35">
      <c r="A17" s="9"/>
      <c r="B17" s="604"/>
      <c r="C17" s="98" t="s">
        <v>45</v>
      </c>
      <c r="D17" s="85" t="s">
        <v>22</v>
      </c>
      <c r="E17" s="99">
        <f>(E14*E16)/1000</f>
        <v>1.28</v>
      </c>
      <c r="F17" s="100">
        <f t="shared" ref="F17:M17" si="1">(F14*F16)/1000</f>
        <v>1.28</v>
      </c>
      <c r="G17" s="101">
        <f t="shared" si="1"/>
        <v>1.28</v>
      </c>
      <c r="H17" s="100">
        <f t="shared" si="1"/>
        <v>1.48</v>
      </c>
      <c r="I17" s="100">
        <f t="shared" si="1"/>
        <v>1.48</v>
      </c>
      <c r="J17" s="101">
        <f t="shared" si="1"/>
        <v>1.48</v>
      </c>
      <c r="K17" s="100">
        <f t="shared" si="1"/>
        <v>0</v>
      </c>
      <c r="L17" s="100">
        <f t="shared" si="1"/>
        <v>0</v>
      </c>
      <c r="M17" s="102">
        <f t="shared" si="1"/>
        <v>0</v>
      </c>
      <c r="N17" s="10"/>
    </row>
    <row r="18" spans="1:15" ht="18.75" x14ac:dyDescent="0.35">
      <c r="A18" s="9"/>
      <c r="B18" s="604"/>
      <c r="C18" s="103" t="s">
        <v>46</v>
      </c>
      <c r="D18" s="88" t="s">
        <v>22</v>
      </c>
      <c r="E18" s="104">
        <f>(((E16*E15)/1000)*$P$5/100*$P$6/100)+(((E16*E15)/1000)*$P$5/100*(1-$P$6/100)*$P$7/100)</f>
        <v>1.393875</v>
      </c>
      <c r="F18" s="105">
        <f t="shared" ref="F18:G18" si="2">(((F16*F15)/1000)*$P$5/100*$P$6/100)+(((F16*F15)/1000)*$P$5/100*(1-$P$6/100)*$P$7/100)</f>
        <v>1.393875</v>
      </c>
      <c r="G18" s="106">
        <f t="shared" si="2"/>
        <v>1.393875</v>
      </c>
      <c r="H18" s="105">
        <f>(((H16*H15)/1000)*$Q5/100*$Q$6/100)+(((H16*H15)/1000)*$Q$5/100*(1-$Q$6/100)*$Q$7/100)</f>
        <v>1.5487500000000001</v>
      </c>
      <c r="I18" s="105">
        <f>(((I16*I15)/1000)*$Q$5/100*$Q$6/100)+(((I16*I15)/1000)*$Q$5/100*(1-$Q$6/100)*$Q$7/100)</f>
        <v>1.5487500000000001</v>
      </c>
      <c r="J18" s="106">
        <f>(((J16*J15)/1000)*$Q$5/100*$Q$6/100)+(((J16*J15)/1000)*$Q$5/100*(1-$Q$6/100)*$Q$7/100)</f>
        <v>1.5487500000000001</v>
      </c>
      <c r="K18" s="105">
        <f>(((K16*K15)/1000)*$R$5/100*$R$6/100)+(((K16*K15)/1000)*$R$5/100*(1-$R$6/100)*$R$7/100)</f>
        <v>0</v>
      </c>
      <c r="L18" s="105">
        <f>(((L16*L15)/1000)*$R$5/100*$R$6/100)+(((L16*L15)/1000)*$R$5/100*(1-$R$6/100)*$R$7/100)</f>
        <v>0</v>
      </c>
      <c r="M18" s="107">
        <f>(((M16*M15)/1000)*$R$5/100*$R$6/100)+(((M16*M15)/1000)*$R$5/100*(1-$R$6/100)*$R$7/100)</f>
        <v>0</v>
      </c>
      <c r="N18" s="10"/>
    </row>
    <row r="19" spans="1:15" x14ac:dyDescent="0.25">
      <c r="A19" s="39"/>
      <c r="B19" s="604"/>
      <c r="C19" s="108" t="s">
        <v>23</v>
      </c>
      <c r="D19" s="85" t="s">
        <v>24</v>
      </c>
      <c r="E19" s="241">
        <f>$P$7</f>
        <v>66.666666666666657</v>
      </c>
      <c r="F19" s="242">
        <f t="shared" ref="F19:G19" si="3">$P$7</f>
        <v>66.666666666666657</v>
      </c>
      <c r="G19" s="243">
        <f t="shared" si="3"/>
        <v>66.666666666666657</v>
      </c>
      <c r="H19" s="109">
        <f>$Q$7</f>
        <v>66.666666666666657</v>
      </c>
      <c r="I19" s="110">
        <f>$Q$7</f>
        <v>66.666666666666657</v>
      </c>
      <c r="J19" s="110">
        <f>$Q$7</f>
        <v>66.666666666666657</v>
      </c>
      <c r="K19" s="109">
        <f>$R$7</f>
        <v>66.666666666666657</v>
      </c>
      <c r="L19" s="110">
        <f>$R$7</f>
        <v>66.666666666666657</v>
      </c>
      <c r="M19" s="111">
        <f>$R$7</f>
        <v>66.666666666666657</v>
      </c>
      <c r="N19" s="10"/>
      <c r="O19" s="69"/>
    </row>
    <row r="20" spans="1:15" x14ac:dyDescent="0.25">
      <c r="A20" s="39"/>
      <c r="B20" s="604"/>
      <c r="C20" s="240" t="s">
        <v>255</v>
      </c>
      <c r="D20" s="85"/>
      <c r="E20" s="618" t="s">
        <v>257</v>
      </c>
      <c r="F20" s="619"/>
      <c r="G20" s="620"/>
      <c r="H20" s="621" t="s">
        <v>257</v>
      </c>
      <c r="I20" s="619"/>
      <c r="J20" s="620"/>
      <c r="K20" s="621" t="s">
        <v>257</v>
      </c>
      <c r="L20" s="619"/>
      <c r="M20" s="622"/>
      <c r="N20" s="10"/>
      <c r="O20" s="69"/>
    </row>
    <row r="21" spans="1:15" ht="15.75" customHeight="1" x14ac:dyDescent="0.25">
      <c r="A21" s="39"/>
      <c r="B21" s="604"/>
      <c r="C21" s="206" t="s">
        <v>25</v>
      </c>
      <c r="D21" s="85" t="s">
        <v>26</v>
      </c>
      <c r="E21" s="241">
        <v>0</v>
      </c>
      <c r="F21" s="242">
        <v>0</v>
      </c>
      <c r="G21" s="243">
        <v>0</v>
      </c>
      <c r="H21" s="244">
        <v>0</v>
      </c>
      <c r="I21" s="242">
        <v>0</v>
      </c>
      <c r="J21" s="243">
        <v>0</v>
      </c>
      <c r="K21" s="244">
        <v>0</v>
      </c>
      <c r="L21" s="242">
        <v>0</v>
      </c>
      <c r="M21" s="245">
        <v>0</v>
      </c>
      <c r="N21" s="10"/>
      <c r="O21" s="70"/>
    </row>
    <row r="22" spans="1:15" x14ac:dyDescent="0.25">
      <c r="A22" s="39"/>
      <c r="B22" s="604"/>
      <c r="C22" s="206" t="s">
        <v>27</v>
      </c>
      <c r="D22" s="85" t="s">
        <v>26</v>
      </c>
      <c r="E22" s="194">
        <v>100</v>
      </c>
      <c r="F22" s="96">
        <v>100</v>
      </c>
      <c r="G22" s="195">
        <v>100</v>
      </c>
      <c r="H22" s="196">
        <v>100</v>
      </c>
      <c r="I22" s="96">
        <v>100</v>
      </c>
      <c r="J22" s="195">
        <v>100</v>
      </c>
      <c r="K22" s="196">
        <v>100</v>
      </c>
      <c r="L22" s="96">
        <v>100</v>
      </c>
      <c r="M22" s="97">
        <v>100</v>
      </c>
      <c r="N22" s="10"/>
    </row>
    <row r="23" spans="1:15" x14ac:dyDescent="0.25">
      <c r="A23" s="39"/>
      <c r="B23" s="604"/>
      <c r="C23" s="206" t="s">
        <v>28</v>
      </c>
      <c r="D23" s="85" t="s">
        <v>26</v>
      </c>
      <c r="E23" s="194">
        <v>0</v>
      </c>
      <c r="F23" s="96">
        <v>0</v>
      </c>
      <c r="G23" s="195">
        <v>0</v>
      </c>
      <c r="H23" s="196">
        <v>0</v>
      </c>
      <c r="I23" s="96">
        <v>0</v>
      </c>
      <c r="J23" s="195">
        <v>0</v>
      </c>
      <c r="K23" s="196">
        <v>0</v>
      </c>
      <c r="L23" s="96">
        <v>0</v>
      </c>
      <c r="M23" s="97">
        <v>0</v>
      </c>
      <c r="N23" s="10"/>
    </row>
    <row r="24" spans="1:15" ht="19.5" x14ac:dyDescent="0.35">
      <c r="A24" s="14"/>
      <c r="B24" s="604"/>
      <c r="C24" s="112" t="s">
        <v>29</v>
      </c>
      <c r="D24" s="88" t="s">
        <v>22</v>
      </c>
      <c r="E24" s="104">
        <f t="shared" ref="E24:M24" si="4">((E17*E21)+(E18*E22)+(E17*E23))/100</f>
        <v>1.393875</v>
      </c>
      <c r="F24" s="113">
        <f t="shared" si="4"/>
        <v>1.393875</v>
      </c>
      <c r="G24" s="114">
        <f t="shared" si="4"/>
        <v>1.393875</v>
      </c>
      <c r="H24" s="115">
        <f t="shared" si="4"/>
        <v>1.5487500000000001</v>
      </c>
      <c r="I24" s="113">
        <f t="shared" si="4"/>
        <v>1.5487500000000001</v>
      </c>
      <c r="J24" s="114">
        <f t="shared" si="4"/>
        <v>1.5487500000000001</v>
      </c>
      <c r="K24" s="115">
        <f t="shared" si="4"/>
        <v>0</v>
      </c>
      <c r="L24" s="113">
        <f t="shared" si="4"/>
        <v>0</v>
      </c>
      <c r="M24" s="116">
        <f t="shared" si="4"/>
        <v>0</v>
      </c>
      <c r="N24" s="10"/>
    </row>
    <row r="25" spans="1:15" ht="30" customHeight="1" x14ac:dyDescent="0.25">
      <c r="A25" s="40"/>
      <c r="B25" s="41" t="s">
        <v>30</v>
      </c>
      <c r="C25" s="117" t="s">
        <v>249</v>
      </c>
      <c r="D25" s="118" t="s">
        <v>31</v>
      </c>
      <c r="E25" s="119">
        <f t="shared" ref="E25:G25" si="5">(((E16*E15)/1000)*($P$5/100)*(1-$P$6/100)*(1-$P$7/100)*$P$8*(E22/100))+(E29*$P$9)</f>
        <v>0.18933750000000013</v>
      </c>
      <c r="F25" s="120">
        <f t="shared" si="5"/>
        <v>0.18933750000000013</v>
      </c>
      <c r="G25" s="121">
        <f t="shared" si="5"/>
        <v>0.18933750000000013</v>
      </c>
      <c r="H25" s="120">
        <f>(((H16*H15)/1000)*($Q$5/100)*(1-$Q$6/100)*(1-$Q$7/100)*$Q$8*(H22/100))+(H29*$Q$9)</f>
        <v>0.21037500000000012</v>
      </c>
      <c r="I25" s="120">
        <f>(((I16*I15)/1000)*($Q$5/100)*(1-$Q$6/100)*(1-$Q$7/100)*$Q$8*(I22/100))+(I29*$Q$9)</f>
        <v>0.21037500000000012</v>
      </c>
      <c r="J25" s="121">
        <f>(((J16*J15)/1000)*($Q$5/100)*(1-$Q$6/100)*(1-$Q$7/100)*$Q$8*(J22/100))+(J29*$Q$9)</f>
        <v>0.21037500000000012</v>
      </c>
      <c r="K25" s="120">
        <f>(((K16*K15)/1000)*($R$5/100)*(1-$R$6/100)*(1-$R$7/100)*$R$8*(K22/100))+(K29*$R$9)</f>
        <v>0</v>
      </c>
      <c r="L25" s="120">
        <f>(((L16*L15)/1000)*($R$5/100)*(1-$R$6/100)*(1-$R$7/100)*$R$8*(L22/100))+(L29*$R$9)</f>
        <v>0</v>
      </c>
      <c r="M25" s="122">
        <f>(((M16*M15)/1000)*($R$5/100)*(1-$R$6/100)*(1-$R$7/100)*$R$8*(M22/100))+(M29*$R$9)</f>
        <v>0</v>
      </c>
      <c r="N25" s="10"/>
    </row>
    <row r="26" spans="1:15" ht="21.75" customHeight="1" x14ac:dyDescent="0.25">
      <c r="A26" s="9"/>
      <c r="B26" s="604" t="s">
        <v>32</v>
      </c>
      <c r="C26" s="123" t="s">
        <v>33</v>
      </c>
      <c r="D26" s="85" t="s">
        <v>34</v>
      </c>
      <c r="E26" s="197">
        <v>0.1</v>
      </c>
      <c r="F26" s="198">
        <v>0.28000000000000003</v>
      </c>
      <c r="G26" s="199">
        <v>0.3</v>
      </c>
      <c r="H26" s="198">
        <v>0.1</v>
      </c>
      <c r="I26" s="198">
        <v>0.28000000000000003</v>
      </c>
      <c r="J26" s="199">
        <v>0.3</v>
      </c>
      <c r="K26" s="198">
        <v>0.1</v>
      </c>
      <c r="L26" s="198">
        <v>0.28000000000000003</v>
      </c>
      <c r="M26" s="200">
        <v>0.3</v>
      </c>
      <c r="N26" s="10"/>
    </row>
    <row r="27" spans="1:15" ht="18" customHeight="1" x14ac:dyDescent="0.25">
      <c r="A27" s="42"/>
      <c r="B27" s="605"/>
      <c r="C27" s="124" t="s">
        <v>47</v>
      </c>
      <c r="D27" s="85" t="s">
        <v>43</v>
      </c>
      <c r="E27" s="134">
        <f t="shared" ref="E27:G27" si="6">IF(E12*(E26/(1-E26))&lt;$P$10,$P$10,E12*(E26/(1-E26)))</f>
        <v>0.2</v>
      </c>
      <c r="F27" s="125">
        <f t="shared" si="6"/>
        <v>0.4258333333333334</v>
      </c>
      <c r="G27" s="126">
        <f t="shared" si="6"/>
        <v>0.55071428571428571</v>
      </c>
      <c r="H27" s="125">
        <f>IF(H12*(H26/(1-H26))&lt;$Q$10,$Q$10,H12*(H26/(1-H26)))</f>
        <v>0.2</v>
      </c>
      <c r="I27" s="125">
        <f>IF(I12*(I26/(1-I26))&lt;$Q$10,$Q$10,I12*(I26/(1-I26)))</f>
        <v>0.85166666666666679</v>
      </c>
      <c r="J27" s="126">
        <f>IF(J12*(J26/(1-J26))&lt;$Q$10,$Q$10,J12*(J26/(1-J26)))</f>
        <v>1.1014285714285714</v>
      </c>
      <c r="K27" s="125">
        <f>IF(K12*(K26/(1-K26))&lt;$R$10,$R$10,K12*(K26/(1-K26)))</f>
        <v>0.2</v>
      </c>
      <c r="L27" s="125">
        <f>IF(L12*(L26/(1-L26))&lt;$R$10,$R$10,L12*(L26/(1-L26)))</f>
        <v>0.2</v>
      </c>
      <c r="M27" s="127">
        <f>IF(M12*(M26/(1-M26))&lt;$R$10,$R$10,M12*(M26/(1-M26)))</f>
        <v>0.2</v>
      </c>
      <c r="N27" s="10"/>
    </row>
    <row r="28" spans="1:15" ht="24.75" customHeight="1" x14ac:dyDescent="0.25">
      <c r="A28" s="42"/>
      <c r="B28" s="41" t="s">
        <v>56</v>
      </c>
      <c r="C28" s="128" t="s">
        <v>48</v>
      </c>
      <c r="D28" s="129" t="s">
        <v>43</v>
      </c>
      <c r="E28" s="201">
        <v>0</v>
      </c>
      <c r="F28" s="202">
        <v>0</v>
      </c>
      <c r="G28" s="203">
        <v>0.7</v>
      </c>
      <c r="H28" s="204">
        <v>0</v>
      </c>
      <c r="I28" s="202">
        <v>0</v>
      </c>
      <c r="J28" s="203">
        <v>0.7</v>
      </c>
      <c r="K28" s="204">
        <v>0</v>
      </c>
      <c r="L28" s="202">
        <v>0</v>
      </c>
      <c r="M28" s="205">
        <v>0.7</v>
      </c>
      <c r="N28" s="10"/>
    </row>
    <row r="29" spans="1:15" ht="18.75" x14ac:dyDescent="0.25">
      <c r="A29" s="9"/>
      <c r="B29" s="606" t="s">
        <v>58</v>
      </c>
      <c r="C29" s="130" t="s">
        <v>258</v>
      </c>
      <c r="D29" s="85" t="s">
        <v>43</v>
      </c>
      <c r="E29" s="131">
        <v>0</v>
      </c>
      <c r="F29" s="132">
        <v>0</v>
      </c>
      <c r="G29" s="133">
        <v>0</v>
      </c>
      <c r="H29" s="132">
        <v>0</v>
      </c>
      <c r="I29" s="132">
        <v>0</v>
      </c>
      <c r="J29" s="132">
        <v>0</v>
      </c>
      <c r="K29" s="141">
        <v>0</v>
      </c>
      <c r="L29" s="132">
        <v>0</v>
      </c>
      <c r="M29" s="142">
        <v>0</v>
      </c>
      <c r="N29" s="10"/>
    </row>
    <row r="30" spans="1:15" ht="15.75" customHeight="1" x14ac:dyDescent="0.25">
      <c r="A30" s="9"/>
      <c r="B30" s="606"/>
      <c r="C30" s="130" t="s">
        <v>36</v>
      </c>
      <c r="D30" s="85" t="s">
        <v>43</v>
      </c>
      <c r="E30" s="134">
        <f t="shared" ref="E30:M30" si="7">(4*(E16/100)*(E13/100))</f>
        <v>0.2</v>
      </c>
      <c r="F30" s="135">
        <f t="shared" si="7"/>
        <v>0.2</v>
      </c>
      <c r="G30" s="136">
        <f t="shared" si="7"/>
        <v>0.2</v>
      </c>
      <c r="H30" s="135">
        <f t="shared" si="7"/>
        <v>0.28000000000000003</v>
      </c>
      <c r="I30" s="135">
        <f t="shared" si="7"/>
        <v>0.28000000000000003</v>
      </c>
      <c r="J30" s="135">
        <f t="shared" si="7"/>
        <v>0.28000000000000003</v>
      </c>
      <c r="K30" s="137">
        <f t="shared" si="7"/>
        <v>0</v>
      </c>
      <c r="L30" s="135">
        <f t="shared" si="7"/>
        <v>0</v>
      </c>
      <c r="M30" s="138">
        <f t="shared" si="7"/>
        <v>0</v>
      </c>
      <c r="N30" s="10"/>
    </row>
    <row r="31" spans="1:15" ht="18.75" x14ac:dyDescent="0.25">
      <c r="A31" s="9"/>
      <c r="B31" s="606"/>
      <c r="C31" s="139" t="s">
        <v>37</v>
      </c>
      <c r="D31" s="85" t="s">
        <v>43</v>
      </c>
      <c r="E31" s="131">
        <v>0</v>
      </c>
      <c r="F31" s="140">
        <v>0</v>
      </c>
      <c r="G31" s="133">
        <v>0</v>
      </c>
      <c r="H31" s="132">
        <v>0</v>
      </c>
      <c r="I31" s="140">
        <v>0</v>
      </c>
      <c r="J31" s="132">
        <v>0</v>
      </c>
      <c r="K31" s="141">
        <v>0</v>
      </c>
      <c r="L31" s="140">
        <v>0</v>
      </c>
      <c r="M31" s="142">
        <v>0</v>
      </c>
      <c r="N31" s="10"/>
    </row>
    <row r="32" spans="1:15" ht="18.75" x14ac:dyDescent="0.25">
      <c r="A32" s="9"/>
      <c r="B32" s="606"/>
      <c r="C32" s="130" t="s">
        <v>38</v>
      </c>
      <c r="D32" s="85" t="s">
        <v>43</v>
      </c>
      <c r="E32" s="143">
        <v>0</v>
      </c>
      <c r="F32" s="144">
        <v>0</v>
      </c>
      <c r="G32" s="145">
        <v>0</v>
      </c>
      <c r="H32" s="144">
        <v>0</v>
      </c>
      <c r="I32" s="144">
        <v>0</v>
      </c>
      <c r="J32" s="144">
        <v>0</v>
      </c>
      <c r="K32" s="146">
        <v>0</v>
      </c>
      <c r="L32" s="144">
        <v>0</v>
      </c>
      <c r="M32" s="147">
        <v>0</v>
      </c>
      <c r="N32" s="10"/>
    </row>
    <row r="33" spans="1:15" ht="19.5" thickBot="1" x14ac:dyDescent="0.35">
      <c r="A33" s="14"/>
      <c r="B33" s="607"/>
      <c r="C33" s="148" t="s">
        <v>35</v>
      </c>
      <c r="D33" s="149" t="s">
        <v>31</v>
      </c>
      <c r="E33" s="150">
        <f t="shared" ref="E33:M33" si="8">E29+E30+E31+E32</f>
        <v>0.2</v>
      </c>
      <c r="F33" s="151">
        <f t="shared" si="8"/>
        <v>0.2</v>
      </c>
      <c r="G33" s="152">
        <f t="shared" si="8"/>
        <v>0.2</v>
      </c>
      <c r="H33" s="151">
        <f t="shared" si="8"/>
        <v>0.28000000000000003</v>
      </c>
      <c r="I33" s="151">
        <f t="shared" si="8"/>
        <v>0.28000000000000003</v>
      </c>
      <c r="J33" s="151">
        <f t="shared" si="8"/>
        <v>0.28000000000000003</v>
      </c>
      <c r="K33" s="153">
        <f t="shared" si="8"/>
        <v>0</v>
      </c>
      <c r="L33" s="151">
        <f t="shared" si="8"/>
        <v>0</v>
      </c>
      <c r="M33" s="154">
        <f t="shared" si="8"/>
        <v>0</v>
      </c>
      <c r="N33" s="10"/>
    </row>
    <row r="34" spans="1:15" ht="39" customHeight="1" thickBot="1" x14ac:dyDescent="0.3">
      <c r="A34" s="42"/>
      <c r="B34" s="43"/>
      <c r="C34" s="155" t="s">
        <v>39</v>
      </c>
      <c r="D34" s="156" t="s">
        <v>44</v>
      </c>
      <c r="E34" s="157">
        <f t="shared" ref="E34:M34" si="9">(E12+E24+E25+E27+E28)-(E29+E30+E31+E32)</f>
        <v>2.0832125000000001</v>
      </c>
      <c r="F34" s="158">
        <f t="shared" si="9"/>
        <v>2.9040458333333334</v>
      </c>
      <c r="G34" s="159">
        <f t="shared" si="9"/>
        <v>3.9189267857142855</v>
      </c>
      <c r="H34" s="158">
        <f t="shared" si="9"/>
        <v>2.8991249999999997</v>
      </c>
      <c r="I34" s="158">
        <f t="shared" si="9"/>
        <v>4.5207916666666668</v>
      </c>
      <c r="J34" s="159">
        <f t="shared" si="9"/>
        <v>5.8505535714285717</v>
      </c>
      <c r="K34" s="158">
        <f t="shared" si="9"/>
        <v>0.2</v>
      </c>
      <c r="L34" s="158">
        <f t="shared" si="9"/>
        <v>0.2</v>
      </c>
      <c r="M34" s="160">
        <f t="shared" si="9"/>
        <v>0.89999999999999991</v>
      </c>
      <c r="N34" s="10"/>
    </row>
    <row r="35" spans="1:15" ht="16.5" customHeight="1" thickBot="1" x14ac:dyDescent="0.3">
      <c r="A35" s="9"/>
      <c r="B35" s="44"/>
      <c r="C35" s="161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0"/>
    </row>
    <row r="36" spans="1:15" ht="21" customHeight="1" x14ac:dyDescent="0.3">
      <c r="A36" s="45"/>
      <c r="B36" s="237" t="s">
        <v>244</v>
      </c>
      <c r="C36" s="231" t="s">
        <v>254</v>
      </c>
      <c r="D36" s="165" t="s">
        <v>253</v>
      </c>
      <c r="E36" s="232">
        <f t="shared" ref="E36:M36" si="10">(E12+E27+E28)-(E29+E30+E31+E32)</f>
        <v>0.49999999999999994</v>
      </c>
      <c r="F36" s="233">
        <f t="shared" si="10"/>
        <v>1.3208333333333335</v>
      </c>
      <c r="G36" s="233">
        <f t="shared" si="10"/>
        <v>2.3357142857142854</v>
      </c>
      <c r="H36" s="234">
        <f t="shared" si="10"/>
        <v>1.1399999999999999</v>
      </c>
      <c r="I36" s="233">
        <f t="shared" si="10"/>
        <v>2.7616666666666667</v>
      </c>
      <c r="J36" s="233">
        <f t="shared" si="10"/>
        <v>4.0914285714285707</v>
      </c>
      <c r="K36" s="234">
        <f t="shared" si="10"/>
        <v>0.2</v>
      </c>
      <c r="L36" s="233">
        <f t="shared" si="10"/>
        <v>0.2</v>
      </c>
      <c r="M36" s="235">
        <f t="shared" si="10"/>
        <v>0.89999999999999991</v>
      </c>
      <c r="N36" s="10"/>
      <c r="O36" s="246" t="s">
        <v>261</v>
      </c>
    </row>
    <row r="37" spans="1:15" ht="21" customHeight="1" thickBot="1" x14ac:dyDescent="0.35">
      <c r="A37" s="45"/>
      <c r="B37" s="236" t="s">
        <v>244</v>
      </c>
      <c r="C37" s="170" t="s">
        <v>60</v>
      </c>
      <c r="D37" s="171" t="s">
        <v>44</v>
      </c>
      <c r="E37" s="172">
        <f t="shared" ref="E37:M37" si="11">(E12+E18+E25+E27+E28)-(E29+E30+E31+E32)</f>
        <v>2.0832125000000001</v>
      </c>
      <c r="F37" s="173">
        <f t="shared" si="11"/>
        <v>2.9040458333333334</v>
      </c>
      <c r="G37" s="173">
        <f t="shared" si="11"/>
        <v>3.9189267857142855</v>
      </c>
      <c r="H37" s="174">
        <f t="shared" si="11"/>
        <v>2.8991249999999997</v>
      </c>
      <c r="I37" s="173">
        <f t="shared" si="11"/>
        <v>4.5207916666666668</v>
      </c>
      <c r="J37" s="173">
        <f t="shared" si="11"/>
        <v>5.8505535714285717</v>
      </c>
      <c r="K37" s="174">
        <f t="shared" si="11"/>
        <v>0.2</v>
      </c>
      <c r="L37" s="173">
        <f t="shared" si="11"/>
        <v>0.2</v>
      </c>
      <c r="M37" s="175">
        <f t="shared" si="11"/>
        <v>0.89999999999999991</v>
      </c>
      <c r="N37" s="10"/>
      <c r="O37" s="247" t="s">
        <v>262</v>
      </c>
    </row>
    <row r="38" spans="1:15" ht="21" customHeight="1" thickBot="1" x14ac:dyDescent="0.35">
      <c r="A38" s="45"/>
      <c r="B38" s="248" t="s">
        <v>244</v>
      </c>
      <c r="C38" s="238" t="s">
        <v>259</v>
      </c>
      <c r="D38" s="156" t="s">
        <v>44</v>
      </c>
      <c r="E38" s="249">
        <f>(E12+(((E16*E15)/1000)*$P$5/100*$P$6/100)+(((E16*E15)/1000)*$P$5/100*(1-$P$6/100)*0/100)+(((E16*E15)/1000)*($P$5/100)*(1-$P$6/100)*(1-0/100)*$P$8*(100/100))+(E29*$P$9)+E27+E28)-(E29+E30+E31+E32)</f>
        <v>1.1996375000000001</v>
      </c>
      <c r="F38" s="158">
        <f t="shared" ref="F38:M38" si="12">(F12+(((F16*F15)/1000)*$P$5/100*$P$6/100)+(((F16*F15)/1000)*$P$5/100*(1-$P$6/100)*0/100)+(((F16*F15)/1000)*($P$5/100)*(1-$P$6/100)*(1-0/100)*$P$8*(100/100))+(F29*$P$9)+F27+F28)-(F29+F30+F31+F32)</f>
        <v>2.020470833333333</v>
      </c>
      <c r="G38" s="158">
        <f t="shared" si="12"/>
        <v>3.0353517857142851</v>
      </c>
      <c r="H38" s="250">
        <f t="shared" si="12"/>
        <v>1.9173750000000001</v>
      </c>
      <c r="I38" s="158">
        <f t="shared" si="12"/>
        <v>3.539041666666666</v>
      </c>
      <c r="J38" s="158">
        <f t="shared" si="12"/>
        <v>4.8688035714285709</v>
      </c>
      <c r="K38" s="250">
        <f t="shared" si="12"/>
        <v>0.2</v>
      </c>
      <c r="L38" s="158">
        <f t="shared" si="12"/>
        <v>0.2</v>
      </c>
      <c r="M38" s="160">
        <f t="shared" si="12"/>
        <v>0.89999999999999991</v>
      </c>
      <c r="N38" s="10"/>
      <c r="O38" s="246" t="s">
        <v>260</v>
      </c>
    </row>
    <row r="39" spans="1:15" ht="21" customHeight="1" thickBot="1" x14ac:dyDescent="0.3">
      <c r="A39" s="45"/>
      <c r="B39" s="76" t="s">
        <v>244</v>
      </c>
      <c r="C39" s="164" t="s">
        <v>61</v>
      </c>
      <c r="D39" s="165" t="s">
        <v>44</v>
      </c>
      <c r="E39" s="166">
        <f t="shared" ref="E39:M39" si="13">(E12+E17+E27+E28)-(E29+E30+E31+E32)</f>
        <v>1.78</v>
      </c>
      <c r="F39" s="167">
        <f t="shared" si="13"/>
        <v>2.6008333333333331</v>
      </c>
      <c r="G39" s="167">
        <f t="shared" si="13"/>
        <v>3.6157142857142857</v>
      </c>
      <c r="H39" s="168">
        <f t="shared" si="13"/>
        <v>2.62</v>
      </c>
      <c r="I39" s="167">
        <f t="shared" si="13"/>
        <v>4.2416666666666663</v>
      </c>
      <c r="J39" s="167">
        <f t="shared" si="13"/>
        <v>5.5714285714285712</v>
      </c>
      <c r="K39" s="168">
        <f t="shared" si="13"/>
        <v>0.2</v>
      </c>
      <c r="L39" s="167">
        <f t="shared" si="13"/>
        <v>0.2</v>
      </c>
      <c r="M39" s="169">
        <f t="shared" si="13"/>
        <v>0.89999999999999991</v>
      </c>
      <c r="N39" s="10"/>
    </row>
    <row r="40" spans="1:15" ht="21" customHeight="1" thickBot="1" x14ac:dyDescent="0.35">
      <c r="A40" s="9"/>
      <c r="B40" s="239" t="s">
        <v>244</v>
      </c>
      <c r="C40" s="238" t="s">
        <v>256</v>
      </c>
      <c r="D40" s="156" t="s">
        <v>31</v>
      </c>
      <c r="E40" s="157">
        <f t="shared" ref="E40:M40" si="14">(E12+E17+E27+E28)-(E30+E31+E32)</f>
        <v>1.78</v>
      </c>
      <c r="F40" s="158">
        <f t="shared" si="14"/>
        <v>2.6008333333333331</v>
      </c>
      <c r="G40" s="158">
        <f t="shared" si="14"/>
        <v>3.6157142857142857</v>
      </c>
      <c r="H40" s="158">
        <f t="shared" si="14"/>
        <v>2.62</v>
      </c>
      <c r="I40" s="158">
        <f t="shared" si="14"/>
        <v>4.2416666666666663</v>
      </c>
      <c r="J40" s="158">
        <f t="shared" si="14"/>
        <v>5.5714285714285712</v>
      </c>
      <c r="K40" s="158">
        <f t="shared" si="14"/>
        <v>0.2</v>
      </c>
      <c r="L40" s="158">
        <f t="shared" si="14"/>
        <v>0.2</v>
      </c>
      <c r="M40" s="160">
        <f t="shared" si="14"/>
        <v>0.89999999999999991</v>
      </c>
      <c r="N40" s="10"/>
      <c r="O40" s="246" t="s">
        <v>263</v>
      </c>
    </row>
    <row r="42" spans="1:15" x14ac:dyDescent="0.25">
      <c r="A42" s="9"/>
      <c r="B42" s="10"/>
      <c r="C42" s="11"/>
      <c r="D42" s="11"/>
      <c r="E42" s="11"/>
      <c r="F42" s="11"/>
      <c r="G42" s="9"/>
      <c r="H42" s="9"/>
      <c r="I42" s="9"/>
      <c r="J42" s="9"/>
      <c r="K42" s="11"/>
      <c r="L42" s="11"/>
      <c r="M42" s="11"/>
      <c r="N42" s="10"/>
    </row>
    <row r="43" spans="1:15" x14ac:dyDescent="0.25">
      <c r="A43" s="9"/>
      <c r="B43" s="10"/>
      <c r="C43" s="11"/>
      <c r="D43" s="11"/>
      <c r="E43" s="11"/>
      <c r="F43" s="11"/>
      <c r="G43" s="9"/>
      <c r="H43" s="9"/>
      <c r="I43" s="9"/>
      <c r="J43" s="9"/>
      <c r="K43" s="11"/>
      <c r="L43" s="11"/>
      <c r="M43" s="11"/>
      <c r="N43" s="10"/>
    </row>
    <row r="44" spans="1:15" x14ac:dyDescent="0.25">
      <c r="A44" s="46"/>
      <c r="B44" s="10"/>
      <c r="C44" s="47"/>
      <c r="D44" s="11"/>
      <c r="E44" s="11"/>
      <c r="F44" s="11"/>
      <c r="G44" s="9"/>
      <c r="H44" s="9"/>
      <c r="I44" s="9"/>
      <c r="J44" s="9"/>
      <c r="K44" s="11"/>
      <c r="L44" s="11"/>
      <c r="M44" s="11"/>
      <c r="N44" s="10"/>
    </row>
    <row r="45" spans="1:15" x14ac:dyDescent="0.25">
      <c r="A45" s="9"/>
      <c r="B45" s="10"/>
      <c r="C45" s="11"/>
      <c r="D45" s="11"/>
      <c r="E45" s="11"/>
      <c r="F45" s="11"/>
      <c r="G45" s="9"/>
      <c r="H45" s="9"/>
      <c r="I45" s="9"/>
      <c r="J45" s="9"/>
      <c r="K45" s="11"/>
      <c r="L45" s="11"/>
      <c r="M45" s="11"/>
      <c r="N45" s="10"/>
    </row>
    <row r="46" spans="1:15" x14ac:dyDescent="0.25">
      <c r="A46" s="9"/>
      <c r="B46" s="10"/>
      <c r="C46" s="11"/>
      <c r="D46" s="11"/>
      <c r="E46" s="11"/>
      <c r="F46" s="11"/>
      <c r="G46" s="9"/>
      <c r="H46" s="9"/>
      <c r="I46" s="9"/>
      <c r="J46" s="9"/>
      <c r="K46" s="11"/>
      <c r="L46" s="11"/>
      <c r="M46" s="11"/>
      <c r="N46" s="10"/>
    </row>
    <row r="47" spans="1:15" x14ac:dyDescent="0.25">
      <c r="A47" s="9"/>
      <c r="B47" s="10"/>
      <c r="C47" s="11"/>
      <c r="D47" s="11"/>
      <c r="E47" s="11"/>
      <c r="F47" s="11"/>
      <c r="G47" s="9"/>
      <c r="H47" s="9"/>
      <c r="I47" s="9"/>
      <c r="J47" s="9"/>
      <c r="K47" s="11"/>
      <c r="L47" s="11"/>
      <c r="M47" s="11"/>
      <c r="N47" s="10"/>
    </row>
    <row r="48" spans="1:15" x14ac:dyDescent="0.25">
      <c r="A48" s="9"/>
      <c r="B48" s="10"/>
      <c r="C48" s="11"/>
      <c r="D48" s="11"/>
      <c r="E48" s="11"/>
      <c r="F48" s="11"/>
      <c r="G48" s="9"/>
      <c r="H48" s="9"/>
      <c r="I48" s="9"/>
      <c r="J48" s="9"/>
      <c r="K48" s="11"/>
      <c r="L48" s="11"/>
      <c r="M48" s="11"/>
      <c r="N48" s="10"/>
    </row>
    <row r="49" spans="1:14" x14ac:dyDescent="0.25">
      <c r="A49" s="9"/>
      <c r="B49" s="10"/>
      <c r="C49" s="11"/>
      <c r="D49" s="11"/>
      <c r="E49" s="11"/>
      <c r="F49" s="11"/>
      <c r="G49" s="9"/>
      <c r="H49" s="9"/>
      <c r="I49" s="9"/>
      <c r="J49" s="9"/>
      <c r="K49" s="11"/>
      <c r="L49" s="11"/>
      <c r="M49" s="11"/>
      <c r="N49" s="10"/>
    </row>
    <row r="50" spans="1:14" x14ac:dyDescent="0.25">
      <c r="A50" s="9"/>
      <c r="B50" s="10"/>
      <c r="C50" s="11"/>
      <c r="D50" s="11"/>
      <c r="E50" s="11"/>
      <c r="F50" s="11"/>
      <c r="G50" s="9"/>
      <c r="H50" s="9"/>
      <c r="I50" s="9"/>
      <c r="J50" s="9"/>
      <c r="K50" s="11"/>
      <c r="L50" s="11"/>
      <c r="M50" s="11"/>
      <c r="N50" s="10"/>
    </row>
    <row r="51" spans="1:14" x14ac:dyDescent="0.25">
      <c r="A51" s="9"/>
      <c r="B51" s="10"/>
      <c r="C51" s="11"/>
      <c r="D51" s="11"/>
      <c r="E51" s="11"/>
      <c r="F51" s="11"/>
      <c r="G51" s="9"/>
      <c r="H51" s="9"/>
      <c r="I51" s="9"/>
      <c r="J51" s="9"/>
      <c r="K51" s="11"/>
      <c r="L51" s="11"/>
      <c r="M51" s="11"/>
      <c r="N51" s="10"/>
    </row>
    <row r="52" spans="1:14" x14ac:dyDescent="0.25">
      <c r="A52" s="9"/>
      <c r="B52" s="15"/>
      <c r="C52" s="11"/>
      <c r="D52" s="11"/>
      <c r="E52" s="11"/>
      <c r="F52" s="11"/>
      <c r="G52" s="9"/>
      <c r="H52" s="9"/>
      <c r="I52" s="9"/>
      <c r="J52" s="9"/>
      <c r="K52" s="11"/>
      <c r="L52" s="11"/>
      <c r="M52" s="11"/>
      <c r="N52" s="10"/>
    </row>
    <row r="53" spans="1:14" x14ac:dyDescent="0.25">
      <c r="A53" s="9"/>
      <c r="B53" s="10"/>
      <c r="C53" s="11"/>
      <c r="D53" s="11"/>
      <c r="E53" s="11"/>
      <c r="F53" s="11"/>
      <c r="G53" s="9"/>
      <c r="H53" s="9"/>
      <c r="I53" s="9"/>
      <c r="J53" s="9"/>
      <c r="K53" s="11"/>
      <c r="L53" s="11"/>
      <c r="M53" s="11"/>
      <c r="N53" s="10"/>
    </row>
    <row r="54" spans="1:14" x14ac:dyDescent="0.25">
      <c r="A54" s="9"/>
      <c r="B54" s="10"/>
      <c r="C54" s="11"/>
      <c r="D54" s="11"/>
      <c r="E54" s="11"/>
      <c r="F54" s="11"/>
      <c r="G54" s="9"/>
      <c r="H54" s="9"/>
      <c r="I54" s="9"/>
      <c r="J54" s="9"/>
      <c r="K54" s="11"/>
      <c r="L54" s="11"/>
      <c r="M54" s="11"/>
      <c r="N54" s="10"/>
    </row>
    <row r="55" spans="1:14" x14ac:dyDescent="0.25">
      <c r="A55" s="9"/>
      <c r="B55" s="10"/>
      <c r="C55" s="11"/>
      <c r="D55" s="11"/>
      <c r="E55" s="11"/>
      <c r="F55" s="11"/>
      <c r="G55" s="9"/>
      <c r="H55" s="9"/>
      <c r="I55" s="9"/>
      <c r="J55" s="9"/>
      <c r="K55" s="11"/>
      <c r="L55" s="11"/>
      <c r="M55" s="11"/>
      <c r="N55" s="10"/>
    </row>
    <row r="56" spans="1:14" x14ac:dyDescent="0.25">
      <c r="A56" s="9"/>
      <c r="B56" s="10"/>
      <c r="C56" s="11"/>
      <c r="D56" s="11"/>
      <c r="E56" s="11"/>
      <c r="F56" s="11"/>
      <c r="G56" s="9"/>
      <c r="H56" s="9"/>
      <c r="I56" s="9"/>
      <c r="J56" s="9"/>
      <c r="K56" s="11"/>
      <c r="L56" s="11"/>
      <c r="M56" s="11"/>
      <c r="N56" s="10"/>
    </row>
    <row r="57" spans="1:14" x14ac:dyDescent="0.25">
      <c r="A57" s="9"/>
      <c r="B57" s="10"/>
      <c r="C57" s="11"/>
      <c r="D57" s="11"/>
      <c r="E57" s="11"/>
      <c r="F57" s="11"/>
      <c r="G57" s="9"/>
      <c r="H57" s="9"/>
      <c r="I57" s="9"/>
      <c r="J57" s="9"/>
      <c r="K57" s="11"/>
      <c r="L57" s="11"/>
      <c r="M57" s="11"/>
      <c r="N57" s="10"/>
    </row>
    <row r="58" spans="1:14" x14ac:dyDescent="0.25">
      <c r="A58" s="9"/>
      <c r="B58" s="10"/>
      <c r="C58" s="11"/>
      <c r="D58" s="11"/>
      <c r="E58" s="11"/>
      <c r="F58" s="11"/>
      <c r="G58" s="9"/>
      <c r="H58" s="9"/>
      <c r="I58" s="9"/>
      <c r="J58" s="9"/>
      <c r="K58" s="11"/>
      <c r="L58" s="11"/>
      <c r="M58" s="11"/>
      <c r="N58" s="10"/>
    </row>
    <row r="59" spans="1:14" x14ac:dyDescent="0.25">
      <c r="A59" s="9"/>
      <c r="B59" s="10"/>
      <c r="C59" s="11"/>
      <c r="D59" s="11"/>
      <c r="E59" s="11"/>
      <c r="F59" s="11"/>
      <c r="G59" s="9"/>
      <c r="H59" s="9"/>
      <c r="I59" s="9"/>
      <c r="J59" s="9"/>
      <c r="K59" s="11"/>
      <c r="L59" s="11"/>
      <c r="M59" s="11"/>
      <c r="N59" s="10"/>
    </row>
    <row r="60" spans="1:14" x14ac:dyDescent="0.25">
      <c r="A60" s="9"/>
      <c r="B60" s="10"/>
      <c r="C60" s="11"/>
      <c r="D60" s="11"/>
      <c r="E60" s="11"/>
      <c r="F60" s="11"/>
      <c r="G60" s="9"/>
      <c r="H60" s="9"/>
      <c r="I60" s="9"/>
      <c r="J60" s="9"/>
      <c r="K60" s="11"/>
      <c r="L60" s="11"/>
      <c r="M60" s="11"/>
      <c r="N60" s="10"/>
    </row>
    <row r="61" spans="1:14" x14ac:dyDescent="0.25">
      <c r="A61" s="9"/>
      <c r="B61" s="10"/>
      <c r="C61" s="11"/>
      <c r="D61" s="11"/>
      <c r="E61" s="11"/>
      <c r="F61" s="11"/>
      <c r="G61" s="9"/>
      <c r="H61" s="9"/>
      <c r="I61" s="9"/>
      <c r="J61" s="9"/>
      <c r="K61" s="11"/>
      <c r="L61" s="11"/>
      <c r="M61" s="11"/>
      <c r="N61" s="10"/>
    </row>
    <row r="62" spans="1:14" x14ac:dyDescent="0.25">
      <c r="A62" s="9"/>
      <c r="B62" s="10"/>
      <c r="C62" s="11"/>
      <c r="D62" s="11"/>
      <c r="E62" s="11"/>
      <c r="F62" s="11"/>
      <c r="G62" s="9"/>
      <c r="H62" s="9"/>
      <c r="I62" s="9"/>
      <c r="J62" s="9"/>
      <c r="K62" s="11"/>
      <c r="L62" s="11"/>
      <c r="M62" s="11"/>
      <c r="N62" s="10"/>
    </row>
  </sheetData>
  <mergeCells count="10">
    <mergeCell ref="B26:B27"/>
    <mergeCell ref="B29:B33"/>
    <mergeCell ref="K3:M3"/>
    <mergeCell ref="O3:R3"/>
    <mergeCell ref="K4:M4"/>
    <mergeCell ref="B10:B12"/>
    <mergeCell ref="B13:B24"/>
    <mergeCell ref="E20:G20"/>
    <mergeCell ref="H20:J20"/>
    <mergeCell ref="K20:M20"/>
  </mergeCells>
  <dataValidations count="45">
    <dataValidation allowBlank="1" showInputMessage="1" showErrorMessage="1" error="Diese Zelle mit &quot;Berechnungsformel&quot; kann nicht geändert werden,_x000a_Löschen ist jedoch möglich &lt;del&gt;!" sqref="E40:M40"/>
    <dataValidation type="decimal" allowBlank="1" showInputMessage="1" showErrorMessage="1" promptTitle="fde" prompt="Denitrifikationsfaktor fde zur Berechung von Nde (als Multiplikator mit Nle): Werte zwischen 0,15 und &lt;= 0,80 zugelassen" sqref="F26:M26">
      <formula1>0.1</formula1>
      <formula2>0.8</formula2>
    </dataValidation>
    <dataValidation type="custom" errorStyle="information" allowBlank="1" showInputMessage="1" showErrorMessage="1" errorTitle="% Abfuhr:" error="Summe Mahd + Weide + Entbuschung muss gleich 100 sein!" promptTitle="% Abfuhr:" prompt="% Abfuhr:_x000a_Summe Mahd + Weide + Entbuschung muss gleich 100 sein!" sqref="E23">
      <formula1>IF(SUM(E21:E23)&gt;100,"Summe &gt; 100!",)</formula1>
    </dataValidation>
    <dataValidation type="custom" errorStyle="information" allowBlank="1" showInputMessage="1" showErrorMessage="1" errorTitle="% Abfuhr" error="=WENN(SUMME(E20:E22)&gt;100;&quot;Summe &gt; 100!&quot;;)" promptTitle="% Abfuhr" prompt="% Abfuhr:_x000a_Summe Mahd + Weide + Entbuschung muss gleich 100 sein!" sqref="F21">
      <formula1>IF(SUM(F21:F23)&gt;100,"Summe &gt; 100!",)</formula1>
    </dataValidation>
    <dataValidation type="custom" errorStyle="information" allowBlank="1" showInputMessage="1" showErrorMessage="1" errorTitle="% Abfuhr" error="=WENN(SUMME(E20:E22)&gt;100;&quot;Summe &gt; 100!&quot;;)" promptTitle="% Abfuhr" prompt="% Abfuhr:_x000a_Summe Mahd + Weide + Entbuschung muss gleich 100 sein!" sqref="F22">
      <formula1>IF(SUM(F21:F23)&gt;100,"Summe &gt; 100!",)</formula1>
    </dataValidation>
    <dataValidation type="custom" errorStyle="information" allowBlank="1" showInputMessage="1" showErrorMessage="1" errorTitle="% Abfuhr" error="Summe Mahd + Weide + Entbuschung muss gleich 100 sein!" promptTitle="% Abfuhr" prompt="% Abfuhr:_x000a_Summe Mahd + Weide + Entbuschung muss gleich 100 sein!" sqref="J21">
      <formula1>IF(SUM(J21:JE23)&gt;100,"Summe &gt; 100!",)</formula1>
    </dataValidation>
    <dataValidation type="custom" errorStyle="information" allowBlank="1" showInputMessage="1" showErrorMessage="1" errorTitle="% Abfuhr" error="_x000a_Summe Mahd + Weide + Entbuschung muss gleich 100 sein!" promptTitle="% Abfuhr" prompt="% Abfuhr:_x000a_Summe Mahd + Weide + Entbuschung muss gleich 100 sein!" sqref="J23">
      <formula1>IF(SUM(J21:J23)&gt;100,"Summe &gt; 100!",)</formula1>
    </dataValidation>
    <dataValidation type="custom" allowBlank="1" showInputMessage="1" showErrorMessage="1" errorTitle="% Abfuhr" error="Summe Mahd + Weide + Entbuschung muss gleich 100 sein!" promptTitle="% Abfuhr" prompt="% Abfuhr:_x000a_Summe Mahd + Weide + Entbuschung muss gleich 100 sein!" sqref="L22">
      <formula1>IF(SUM(L21:L23)&gt;100,"Summe &gt; 100!",)</formula1>
    </dataValidation>
    <dataValidation type="custom" errorStyle="information" allowBlank="1" showInputMessage="1" showErrorMessage="1" errorTitle="% Abfuhr" error="% Abfuhr:_x000a_Summe Mahd + Weide + Entbuschung muss gleich 100 sein!" promptTitle="% Abfuhr" prompt="% Abfuhr:_x000a_Summe Mahd + Weide + Entbuschung muss gleich 100 sein!" sqref="M23">
      <formula1>IF(SUM(M21:M23)&gt;100,"Summe &gt; 100!",)</formula1>
    </dataValidation>
    <dataValidation type="custom" errorStyle="information" allowBlank="1" showInputMessage="1" showErrorMessage="1" errorTitle="% Abfuhr" error="Summe Mahd + Weide + Entbuschung muss gleich 100 sein!" promptTitle="% Abfuhr" prompt="% Abfuhr:_x000a_Summe Mahd + Weide + Entbuschung muss gleich 100 sein!" sqref="E21 K21:M21 G21:I21">
      <formula1>IF(SUM(E21:E23)&gt;100,"Summe &gt; 100!",)</formula1>
    </dataValidation>
    <dataValidation type="custom" errorStyle="information" allowBlank="1" showInputMessage="1" showErrorMessage="1" errorTitle="% Abfuhr" error="Summe Mahd + Weide + Entbuschung muss gleich 100 sein!" promptTitle="% Abfuhr" prompt="% Abfuhr:_x000a_Summe Mahd + Weide + Entbuschung muss gleich 100 sein!" sqref="E22 M22 G22:K22">
      <formula1>IF(SUM(E21:E23)&gt;100,"Summe &gt; 100!",)</formula1>
    </dataValidation>
    <dataValidation type="custom" errorStyle="information" allowBlank="1" showInputMessage="1" showErrorMessage="1" errorTitle="% Abfuhr" error="Summe Mahd + Weide + Entbuschung muss gleich 100 sein!" promptTitle="% Abfuhr" prompt="% Abfuhr:_x000a_Summe Mahd + Weide + Entbuschung muss gleich 100 sein!" sqref="F23:I23 K23:L23">
      <formula1>IF(SUM(F21:F23)&gt;100,"Summe &gt; 100!",)</formula1>
    </dataValidation>
    <dataValidation allowBlank="1" showInputMessage="1" showErrorMessage="1" promptTitle="Nle" prompt="Nle (N-Auswaschung) = Produkt aus Ncrit (N-Gehalt im Sickerwasser (nicht Bodenlösung im Wurzelraum!) und Sickerrate (mm/Jahr) (kg N/(ha*Jahr))" sqref="E12:K12 M12"/>
    <dataValidation allowBlank="1" showInputMessage="1" showErrorMessage="1" prompt="Nnettozufluss (kg N/(ha*Jahr))" sqref="E32"/>
    <dataValidation allowBlank="1" showInputMessage="1" showErrorMessage="1" prompt="Nasym (asymbiontische N-Bindung) (kg N/(ha*Jahr))" sqref="E31"/>
    <dataValidation allowBlank="1" showInputMessage="1" showErrorMessage="1" prompt="N-Düngung (kg N/(ha*Jahr))" sqref="E29"/>
    <dataValidation allowBlank="1" showInputMessage="1" showErrorMessage="1" prompt="N-Immobilisation (kg N/(ha*Jahr))" sqref="E28"/>
    <dataValidation type="decimal" allowBlank="1" showInputMessage="1" showErrorMessage="1" promptTitle="fde" prompt="Denitrifikationsfaktor fde zur Berechung von Nde (als Multiplikator mit Nle): Werte zwischen 0,10 und &lt;= 0,80 zugelassen" sqref="E26">
      <formula1>0.1</formula1>
      <formula2>0.8</formula2>
    </dataValidation>
    <dataValidation allowBlank="1" showInputMessage="1" showErrorMessage="1" prompt="Mittlerer N-Gehalt in der Trockenmasse" sqref="E14:E15"/>
    <dataValidation allowBlank="1" showInputMessage="1" showErrorMessage="1" prompt="Leguminosen-Anteil in % des Trockenmasseertrags" sqref="E13"/>
    <dataValidation allowBlank="1" showInputMessage="1" showErrorMessage="1" prompt="Eingabe der Sickerrrate in mm/Jahr" sqref="E11"/>
    <dataValidation allowBlank="1" showInputMessage="1" showErrorMessage="1" prompt="Eingabe von Ncrit (mg N/L)" sqref="E10"/>
    <dataValidation type="custom" allowBlank="1" showInputMessage="1" showErrorMessage="1" error="Diese Zelle mit &quot;Berechnungsformel&quot; kann nicht geändert werden,_x000a_Löschen ist jedoch möglich &lt;del&gt;!" sqref="M30">
      <formula1>" =NICHT(ZELLE(""Schutz"";N40))"</formula1>
    </dataValidation>
    <dataValidation type="custom" allowBlank="1" showInputMessage="1" showErrorMessage="1" sqref="G30">
      <formula1>" =NICHT(ZELLE(""Schutz"";H40))"</formula1>
    </dataValidation>
    <dataValidation type="custom" allowBlank="1" showInputMessage="1" showErrorMessage="1" sqref="F30">
      <formula1>" =NICHT(ZELLE(""Schutz"";G40))"</formula1>
    </dataValidation>
    <dataValidation type="custom" allowBlank="1" showInputMessage="1" showErrorMessage="1" sqref="H37:H38">
      <formula1>NOT(CELL("Schutz",_xlfn.ANCHORARRAY(H37)))</formula1>
    </dataValidation>
    <dataValidation type="custom" allowBlank="1" showInputMessage="1" showErrorMessage="1" sqref="G33">
      <formula1>" =NICHT(ZELLE(""Schutz"";I43))"</formula1>
    </dataValidation>
    <dataValidation type="custom" allowBlank="1" showInputMessage="1" showErrorMessage="1" sqref="F33">
      <formula1>" =NICHT(ZELLE(""Schutz"";H43))"</formula1>
    </dataValidation>
    <dataValidation type="custom" allowBlank="1" showInputMessage="1" showErrorMessage="1" error="Diese Zelle mit &quot;Berechnungsformel&quot; kann nicht geändert werden,_x000a_Löschen ist jedoch möglich &lt;del&gt;!" sqref="L30">
      <formula1>" =NICHT(ZELLE(""Schutz"";M40))"</formula1>
    </dataValidation>
    <dataValidation type="custom" allowBlank="1" showInputMessage="1" showErrorMessage="1" error="Diese Zelle mit &quot;Berechnungsformel&quot; kann nicht geändert werden,_x000a_Löschen ist jedoch möglich &lt;del&gt;!" sqref="K30">
      <formula1>" =NICHT(ZELLE(""Schutz"";L40))"</formula1>
    </dataValidation>
    <dataValidation type="custom" allowBlank="1" showInputMessage="1" showErrorMessage="1" error="Diese Zelle mit &quot;Berechnungsformel&quot; kann nicht geändert werden,_x000a_Löschen ist jedoch möglich &lt;del&gt;!" sqref="J30">
      <formula1>" =NICHT(ZELLE(""Schutz"";K40))"</formula1>
    </dataValidation>
    <dataValidation type="custom" allowBlank="1" showInputMessage="1" showErrorMessage="1" error="Diese Zelle mit &quot;Berechnungsformel&quot; kann nicht geändert werden,_x000a_Löschen ist jedoch möglich &lt;del&gt;!" sqref="I30">
      <formula1>" =NICHT(ZELLE(""Schutz"";J40))"</formula1>
    </dataValidation>
    <dataValidation type="custom" allowBlank="1" showInputMessage="1" showErrorMessage="1" error="Diese Zelle mit &quot;Berechnungsformel&quot; kann nicht geändert werden,_x000a_Löschen ist jedoch möglich &lt;del&gt;!" sqref="H30">
      <formula1>" =NICHT(ZELLE(""Schutz"";I40))"</formula1>
    </dataValidation>
    <dataValidation type="custom" errorStyle="warning" allowBlank="1" showInputMessage="1" showErrorMessage="1" error="Diese Zelle mit &quot;Berechnungsformel&quot; kann nicht geändert werden,_x000a_Löschen ist jedoch möglich &lt;del&gt;!" promptTitle="Nde" prompt="Mindestwert für Nde: siehe Zelle P10;_x000a_wenn berechneter Wert für Nde &lt; Zelle P10, dann P10" sqref="M27">
      <formula1>" =NICHT(ZELLE(""Schutz"";O36))"</formula1>
    </dataValidation>
    <dataValidation type="custom" errorStyle="warning" allowBlank="1" showInputMessage="1" showErrorMessage="1" error="Diese Zelle mit &quot;Berechnungsformel&quot; kann nicht geändert werden,_x000a_Löschen ist jedoch möglich &lt;del&gt;!" promptTitle="Nde" prompt="Mindestwert für Nde: siehe Zelle P10;_x000a_wenn berechneter Wert für Nde &lt; Zelle P10, dann P10" sqref="L27">
      <formula1>" =NICHT(ZELLE(""Schutz"";N36))"</formula1>
    </dataValidation>
    <dataValidation type="custom" errorStyle="warning" allowBlank="1" showInputMessage="1" showErrorMessage="1" error="Diese Zelle mit &quot;Berechnungsformel&quot; kann nicht geändert werden,_x000a_Löschen ist jedoch möglich &lt;del&gt;!" promptTitle="Nde" prompt="Mindestwert für Nde: siehe Zelle P10;_x000a_wenn berechneter Wert für Nde &lt; Zelle P10, dann P10" sqref="K27">
      <formula1>" =NICHT(ZELLE(""Schutz"";M36))"</formula1>
    </dataValidation>
    <dataValidation type="custom" errorStyle="warning" allowBlank="1" showInputMessage="1" showErrorMessage="1" error="Diese Zelle mit &quot;Berechnungsformel&quot; kann nicht geändert werden,_x000a_Löschen ist jedoch möglich &lt;del&gt;!" promptTitle="Nde" prompt="Mindestwert für Nde: siehe Zelle P10;_x000a_wenn berechneter Wert für Nde &lt; Zelle P10, dann P10" sqref="J27">
      <formula1>" =NICHT(ZELLE(""Schutz"";L36))"</formula1>
    </dataValidation>
    <dataValidation type="custom" errorStyle="warning" allowBlank="1" showInputMessage="1" showErrorMessage="1" error="Diese Zelle mit &quot;Berechnungsformel&quot; kann nicht geändert werden,_x000a_Löschen ist jedoch möglich &lt;del&gt;!" promptTitle="Nde" prompt="Mindestwert für Nde: siehe Zelle P10;_x000a_wenn berechneter Wert für Nde &lt; Zelle P10, dann P10" sqref="I27">
      <formula1>" =NICHT(ZELLE(""Schutz"";K36))"</formula1>
    </dataValidation>
    <dataValidation type="custom" errorStyle="warning" allowBlank="1" showInputMessage="1" showErrorMessage="1" error="Diese Zelle mit &quot;Berechnungsformel&quot; kann nicht geändert werden,_x000a_Löschen ist jedoch möglich &lt;del&gt;!" promptTitle="Nde" prompt="Mindestwert für Nde: siehe Zelle P10;_x000a_wenn berechneter Wert für Nde &lt; Zelle P10, dann P10" sqref="H27">
      <formula1>" =NICHT(ZELLE(""Schutz"";J36))"</formula1>
    </dataValidation>
    <dataValidation type="custom" errorStyle="warning" allowBlank="1" showInputMessage="1" showErrorMessage="1" error="Diese Zelle mit &quot;Berechnungsformel&quot; kann nicht geändert werden,_x000a_Löschen ist jedoch möglich &lt;del&gt;!" promptTitle="Nde" prompt="Mindestwert für Nde: siehe Zelle P10;_x000a_wenn berechneter Wert für Nde &lt; Zelle P10, dann P10" sqref="G27">
      <formula1>" =NICHT(ZELLE(""Schutz"";I36))"</formula1>
    </dataValidation>
    <dataValidation type="custom" errorStyle="warning" allowBlank="1" showInputMessage="1" showErrorMessage="1" error="Diese Zelle mit &quot;Berechnungsformel&quot; kann nicht geändert werden,_x000a_Löschen ist jedoch möglich &lt;del&gt;!" promptTitle="Nde" prompt="Mindestwert für Nde: siehe Zelle P10;_x000a_wenn berechneter Wert für Nde &lt; Zelle P10, dann P10" sqref="F27">
      <formula1>" =NICHT(ZELLE(""Schutz"";H36))"</formula1>
    </dataValidation>
    <dataValidation type="custom" allowBlank="1" showInputMessage="1" showErrorMessage="1" sqref="H33:M33 F39:H39 F37:G38 I37:M39">
      <formula1>NOT(CELL("Schutz",F33))</formula1>
    </dataValidation>
    <dataValidation type="custom" allowBlank="1" showInputMessage="1" showErrorMessage="1" error="Diese Zelle mit &quot;Berechnungsformel&quot; kann nicht geändert werden,_x000a_Löschen ist jedoch möglich &lt;del&gt;!" promptTitle="Nle" prompt="Nle (N-Auswaschung) = Produkt aus Ncrit (N-Gehalt im Sickerwasser (nicht Bodenlösung im Wurzelraum!) und Sickerrate (mm/Jahr) (kg N/(ha*Jahr))" sqref="L12">
      <formula1>" =NICHT(ZELLE(""Schutz"";N12))"</formula1>
    </dataValidation>
    <dataValidation type="custom" allowBlank="1" showInputMessage="1" showErrorMessage="1" error="Diese Zelle mit &quot;Berechnungsformel&quot; kann nicht geändert werden,_x000a_Löschen ist jedoch möglich &lt;del&gt;!" sqref="F24:M24 F34:M36 E35:E36">
      <formula1>NOT(CELL("Schutz",E24))</formula1>
    </dataValidation>
    <dataValidation errorStyle="warning" allowBlank="1" showInputMessage="1" showErrorMessage="1" promptTitle="Nde" prompt="Mindestwert für Nde: siehe Zelle P10;_x000a_wenn berechneter Wert für Nde &lt; Zelle P10, dann P10" sqref="E27"/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T70"/>
  <sheetViews>
    <sheetView workbookViewId="0"/>
  </sheetViews>
  <sheetFormatPr baseColWidth="10" defaultRowHeight="15" x14ac:dyDescent="0.25"/>
  <cols>
    <col min="1" max="1" width="11.7109375" customWidth="1"/>
    <col min="2" max="2" width="12.42578125" customWidth="1"/>
    <col min="3" max="3" width="14" customWidth="1"/>
    <col min="4" max="4" width="12.7109375" customWidth="1"/>
    <col min="5" max="5" width="16.7109375" customWidth="1"/>
    <col min="6" max="6" width="18.42578125" customWidth="1"/>
    <col min="7" max="7" width="26.28515625" customWidth="1"/>
    <col min="8" max="8" width="65.42578125" customWidth="1"/>
    <col min="9" max="9" width="6.28515625" customWidth="1"/>
    <col min="10" max="10" width="130.140625" customWidth="1"/>
    <col min="11" max="11" width="18.28515625" customWidth="1"/>
    <col min="12" max="12" width="20.85546875" customWidth="1"/>
    <col min="15" max="15" width="20.140625" style="52" bestFit="1" customWidth="1"/>
    <col min="16" max="16" width="46" style="53" customWidth="1"/>
    <col min="17" max="17" width="18.140625" bestFit="1" customWidth="1"/>
    <col min="18" max="18" width="18" bestFit="1" customWidth="1"/>
  </cols>
  <sheetData>
    <row r="1" spans="1:20" ht="15.75" x14ac:dyDescent="0.25">
      <c r="A1" s="48" t="s">
        <v>62</v>
      </c>
      <c r="B1" s="49"/>
      <c r="C1" s="49"/>
      <c r="D1" s="49"/>
      <c r="E1" s="49"/>
      <c r="F1" s="49"/>
      <c r="G1" s="49"/>
      <c r="J1" s="50" t="s">
        <v>63</v>
      </c>
      <c r="K1" s="51" t="s">
        <v>64</v>
      </c>
      <c r="L1" s="51" t="s">
        <v>65</v>
      </c>
      <c r="N1" t="s">
        <v>66</v>
      </c>
      <c r="O1" s="52" t="s">
        <v>67</v>
      </c>
      <c r="P1" s="53" t="s">
        <v>68</v>
      </c>
      <c r="Q1" t="s">
        <v>69</v>
      </c>
      <c r="R1" t="s">
        <v>70</v>
      </c>
      <c r="T1" t="e" cm="1">
        <f t="array" aca="1" ref="T1" ca="1">_xlfn.CONCAT("Blattname: ",RIGHT(CELL("dateiname",O1),LEN(CELL("dateiname",O1))-FIND("]",CELL("dateiname",O1))))</f>
        <v>#NAME?</v>
      </c>
    </row>
    <row r="2" spans="1:20" x14ac:dyDescent="0.25">
      <c r="A2" t="s">
        <v>71</v>
      </c>
      <c r="B2" s="52" t="s">
        <v>72</v>
      </c>
      <c r="C2" s="52" t="s">
        <v>73</v>
      </c>
      <c r="D2" s="52" t="s">
        <v>74</v>
      </c>
      <c r="E2" s="52" t="s">
        <v>75</v>
      </c>
      <c r="F2" s="52" t="s">
        <v>76</v>
      </c>
      <c r="G2" s="52" t="s">
        <v>77</v>
      </c>
      <c r="H2" s="54" t="s">
        <v>78</v>
      </c>
      <c r="I2" t="s">
        <v>79</v>
      </c>
      <c r="J2" s="52" t="s">
        <v>80</v>
      </c>
      <c r="K2" s="52" t="s">
        <v>81</v>
      </c>
      <c r="L2" s="52" t="s">
        <v>82</v>
      </c>
    </row>
    <row r="3" spans="1:20" x14ac:dyDescent="0.25">
      <c r="A3" s="55" t="s">
        <v>83</v>
      </c>
      <c r="B3" s="56" t="e">
        <v>#N/A</v>
      </c>
      <c r="C3" s="56" t="e">
        <f t="shared" ref="C3:C66" si="0">(D3+B3)/2</f>
        <v>#N/A</v>
      </c>
      <c r="D3" s="56" t="e">
        <v>#N/A</v>
      </c>
      <c r="E3" s="56" t="e">
        <v>#N/A</v>
      </c>
      <c r="F3" s="56" t="e">
        <v>#N/A</v>
      </c>
      <c r="G3" s="56" t="e">
        <v>#N/A</v>
      </c>
      <c r="H3" s="57" t="s">
        <v>84</v>
      </c>
      <c r="I3" s="56" t="s">
        <v>85</v>
      </c>
      <c r="J3" s="58" t="s">
        <v>84</v>
      </c>
      <c r="K3" s="56" t="e">
        <v>#N/A</v>
      </c>
      <c r="L3" s="56" t="e">
        <v>#N/A</v>
      </c>
      <c r="N3" s="55"/>
      <c r="O3" s="56"/>
      <c r="P3" s="59"/>
      <c r="Q3" s="55"/>
      <c r="R3" s="55"/>
    </row>
    <row r="4" spans="1:20" x14ac:dyDescent="0.25">
      <c r="A4" s="55" t="s">
        <v>86</v>
      </c>
      <c r="B4" s="56" t="e">
        <v>#N/A</v>
      </c>
      <c r="C4" s="56" t="e">
        <f t="shared" si="0"/>
        <v>#N/A</v>
      </c>
      <c r="D4" s="56" t="e">
        <v>#N/A</v>
      </c>
      <c r="E4" s="56" t="e">
        <v>#N/A</v>
      </c>
      <c r="F4" s="56" t="e">
        <v>#N/A</v>
      </c>
      <c r="G4" s="56" t="e">
        <v>#N/A</v>
      </c>
      <c r="H4" s="57" t="s">
        <v>87</v>
      </c>
      <c r="I4" s="56" t="s">
        <v>85</v>
      </c>
      <c r="J4" s="58" t="s">
        <v>87</v>
      </c>
      <c r="K4" s="56" t="e">
        <v>#N/A</v>
      </c>
      <c r="L4" s="56" t="e">
        <v>#N/A</v>
      </c>
      <c r="N4" s="55"/>
      <c r="O4" s="56"/>
      <c r="P4" s="59"/>
      <c r="Q4" s="55"/>
      <c r="R4" s="55"/>
    </row>
    <row r="5" spans="1:20" x14ac:dyDescent="0.25">
      <c r="A5" s="55" t="s">
        <v>88</v>
      </c>
      <c r="B5" s="56" t="e">
        <v>#N/A</v>
      </c>
      <c r="C5" s="56" t="e">
        <f t="shared" si="0"/>
        <v>#N/A</v>
      </c>
      <c r="D5" s="56" t="e">
        <v>#N/A</v>
      </c>
      <c r="E5" s="56" t="e">
        <v>#N/A</v>
      </c>
      <c r="F5" s="56" t="e">
        <v>#N/A</v>
      </c>
      <c r="G5" s="56" t="e">
        <v>#N/A</v>
      </c>
      <c r="H5" s="57" t="s">
        <v>89</v>
      </c>
      <c r="I5" s="56" t="s">
        <v>85</v>
      </c>
      <c r="J5" s="58" t="s">
        <v>89</v>
      </c>
      <c r="K5" s="56" t="e">
        <v>#N/A</v>
      </c>
      <c r="L5" s="56" t="e">
        <v>#N/A</v>
      </c>
      <c r="N5" s="55"/>
      <c r="O5" s="56"/>
      <c r="P5" s="59"/>
      <c r="Q5" s="55"/>
      <c r="R5" s="55"/>
    </row>
    <row r="6" spans="1:20" x14ac:dyDescent="0.25">
      <c r="A6" s="55" t="s">
        <v>90</v>
      </c>
      <c r="B6" s="56" t="e">
        <v>#N/A</v>
      </c>
      <c r="C6" s="56" t="e">
        <f t="shared" si="0"/>
        <v>#N/A</v>
      </c>
      <c r="D6" s="56" t="e">
        <v>#N/A</v>
      </c>
      <c r="E6" s="56" t="e">
        <v>#N/A</v>
      </c>
      <c r="F6" s="56" t="e">
        <v>#N/A</v>
      </c>
      <c r="G6" s="56" t="e">
        <v>#N/A</v>
      </c>
      <c r="H6" s="57" t="s">
        <v>91</v>
      </c>
      <c r="I6" s="56" t="s">
        <v>85</v>
      </c>
      <c r="J6" s="58" t="s">
        <v>91</v>
      </c>
      <c r="K6" s="56" t="e">
        <v>#N/A</v>
      </c>
      <c r="L6" s="56" t="e">
        <v>#N/A</v>
      </c>
      <c r="N6" s="55"/>
      <c r="O6" s="56"/>
      <c r="P6" s="59"/>
      <c r="Q6" s="55"/>
      <c r="R6" s="55"/>
    </row>
    <row r="7" spans="1:20" x14ac:dyDescent="0.25">
      <c r="A7" s="55" t="s">
        <v>92</v>
      </c>
      <c r="B7" s="56" t="e">
        <v>#N/A</v>
      </c>
      <c r="C7" s="56" t="e">
        <f t="shared" si="0"/>
        <v>#N/A</v>
      </c>
      <c r="D7" s="56" t="e">
        <v>#N/A</v>
      </c>
      <c r="E7" s="56" t="e">
        <v>#N/A</v>
      </c>
      <c r="F7" s="56" t="e">
        <v>#N/A</v>
      </c>
      <c r="G7" s="56" t="e">
        <v>#N/A</v>
      </c>
      <c r="H7" s="57" t="s">
        <v>93</v>
      </c>
      <c r="I7" s="56" t="s">
        <v>85</v>
      </c>
      <c r="J7" s="58" t="s">
        <v>93</v>
      </c>
      <c r="K7" s="56" t="e">
        <v>#N/A</v>
      </c>
      <c r="L7" s="56" t="e">
        <v>#N/A</v>
      </c>
      <c r="N7" s="55"/>
      <c r="O7" s="56"/>
      <c r="P7" s="59"/>
      <c r="Q7" s="55"/>
      <c r="R7" s="55"/>
    </row>
    <row r="8" spans="1:20" x14ac:dyDescent="0.25">
      <c r="A8" s="55" t="s">
        <v>94</v>
      </c>
      <c r="B8" s="56" t="e">
        <v>#N/A</v>
      </c>
      <c r="C8" s="56" t="e">
        <f t="shared" si="0"/>
        <v>#N/A</v>
      </c>
      <c r="D8" s="56" t="e">
        <v>#N/A</v>
      </c>
      <c r="E8" s="56" t="e">
        <v>#N/A</v>
      </c>
      <c r="F8" s="56" t="e">
        <v>#N/A</v>
      </c>
      <c r="G8" s="56" t="e">
        <v>#N/A</v>
      </c>
      <c r="H8" s="57" t="s">
        <v>95</v>
      </c>
      <c r="I8" s="56" t="s">
        <v>85</v>
      </c>
      <c r="J8" s="58" t="s">
        <v>95</v>
      </c>
      <c r="K8" s="56" t="e">
        <v>#N/A</v>
      </c>
      <c r="L8" s="56" t="e">
        <v>#N/A</v>
      </c>
      <c r="N8" s="55"/>
      <c r="O8" s="56"/>
      <c r="P8" s="60"/>
      <c r="Q8" s="55"/>
      <c r="R8" s="55"/>
    </row>
    <row r="9" spans="1:20" x14ac:dyDescent="0.25">
      <c r="A9" s="55" t="s">
        <v>96</v>
      </c>
      <c r="B9" s="56" t="e">
        <v>#N/A</v>
      </c>
      <c r="C9" s="56" t="e">
        <f t="shared" si="0"/>
        <v>#N/A</v>
      </c>
      <c r="D9" s="56" t="e">
        <v>#N/A</v>
      </c>
      <c r="E9" s="56" t="e">
        <v>#N/A</v>
      </c>
      <c r="F9" s="56" t="e">
        <v>#N/A</v>
      </c>
      <c r="G9" s="56" t="e">
        <v>#N/A</v>
      </c>
      <c r="H9" s="57" t="s">
        <v>97</v>
      </c>
      <c r="I9" s="56" t="s">
        <v>85</v>
      </c>
      <c r="J9" s="58" t="s">
        <v>97</v>
      </c>
      <c r="K9" s="56" t="e">
        <v>#N/A</v>
      </c>
      <c r="L9" s="56" t="e">
        <v>#N/A</v>
      </c>
      <c r="N9" s="55"/>
      <c r="O9" s="56"/>
      <c r="P9" s="60"/>
      <c r="Q9" s="55"/>
      <c r="R9" s="55"/>
    </row>
    <row r="10" spans="1:20" x14ac:dyDescent="0.25">
      <c r="A10" s="61" t="s">
        <v>98</v>
      </c>
      <c r="B10" s="56">
        <v>10</v>
      </c>
      <c r="C10" s="56">
        <f>(D10+B10)/2</f>
        <v>15</v>
      </c>
      <c r="D10" s="56">
        <v>20</v>
      </c>
      <c r="E10" s="62">
        <v>1</v>
      </c>
      <c r="F10" s="62">
        <v>2</v>
      </c>
      <c r="G10" s="56" t="e">
        <v>#N/A</v>
      </c>
      <c r="H10" s="63" t="s">
        <v>99</v>
      </c>
      <c r="I10" s="56" t="s">
        <v>85</v>
      </c>
      <c r="J10" s="56" t="s">
        <v>99</v>
      </c>
      <c r="K10" s="62">
        <v>3944</v>
      </c>
      <c r="L10" s="64">
        <v>87</v>
      </c>
      <c r="N10" s="65" t="s">
        <v>100</v>
      </c>
      <c r="O10" s="62">
        <v>1</v>
      </c>
      <c r="P10" s="60" t="e">
        <v>#REF!</v>
      </c>
      <c r="Q10" s="55"/>
      <c r="R10" s="55"/>
    </row>
    <row r="11" spans="1:20" x14ac:dyDescent="0.25">
      <c r="A11" s="61" t="s">
        <v>101</v>
      </c>
      <c r="B11" s="56" t="e">
        <v>#N/A</v>
      </c>
      <c r="C11" s="56" t="e">
        <f t="shared" si="0"/>
        <v>#N/A</v>
      </c>
      <c r="D11" s="56" t="e">
        <v>#N/A</v>
      </c>
      <c r="E11" s="56" t="e">
        <v>#N/A</v>
      </c>
      <c r="F11" s="56" t="e">
        <v>#N/A</v>
      </c>
      <c r="G11" s="56" t="e">
        <v>#N/A</v>
      </c>
      <c r="H11" s="57" t="s">
        <v>102</v>
      </c>
      <c r="I11" s="56" t="s">
        <v>85</v>
      </c>
      <c r="J11" s="58" t="s">
        <v>102</v>
      </c>
      <c r="K11" s="56" t="e">
        <v>#N/A</v>
      </c>
      <c r="L11" s="56" t="e">
        <v>#N/A</v>
      </c>
      <c r="N11" s="55"/>
      <c r="O11" s="56"/>
      <c r="P11" s="60" t="e">
        <v>#REF!</v>
      </c>
      <c r="Q11" s="55"/>
      <c r="R11" s="55"/>
    </row>
    <row r="12" spans="1:20" x14ac:dyDescent="0.25">
      <c r="A12" s="55" t="s">
        <v>103</v>
      </c>
      <c r="B12" s="56">
        <v>8</v>
      </c>
      <c r="C12" s="56">
        <f t="shared" si="0"/>
        <v>11.5</v>
      </c>
      <c r="D12" s="56">
        <v>15</v>
      </c>
      <c r="E12" s="62">
        <v>1</v>
      </c>
      <c r="F12" s="62">
        <v>2</v>
      </c>
      <c r="G12" s="56" t="e">
        <v>#N/A</v>
      </c>
      <c r="H12" s="63" t="s">
        <v>104</v>
      </c>
      <c r="I12" s="56" t="s">
        <v>85</v>
      </c>
      <c r="J12" s="56" t="s">
        <v>104</v>
      </c>
      <c r="K12" s="62">
        <v>7285</v>
      </c>
      <c r="L12" s="62">
        <v>87</v>
      </c>
      <c r="N12" s="55"/>
      <c r="O12" s="62">
        <v>10</v>
      </c>
      <c r="P12" s="60" t="e">
        <v>#REF!</v>
      </c>
      <c r="Q12" s="55"/>
      <c r="R12" s="55"/>
    </row>
    <row r="13" spans="1:20" x14ac:dyDescent="0.25">
      <c r="A13" s="61" t="s">
        <v>105</v>
      </c>
      <c r="B13" s="56" t="e">
        <v>#N/A</v>
      </c>
      <c r="C13" s="56" t="e">
        <f t="shared" si="0"/>
        <v>#N/A</v>
      </c>
      <c r="D13" s="56" t="e">
        <v>#N/A</v>
      </c>
      <c r="E13" s="56" t="e">
        <v>#N/A</v>
      </c>
      <c r="F13" s="56" t="e">
        <v>#N/A</v>
      </c>
      <c r="G13" s="56" t="e">
        <v>#N/A</v>
      </c>
      <c r="H13" s="63" t="s">
        <v>106</v>
      </c>
      <c r="I13" s="56" t="s">
        <v>85</v>
      </c>
      <c r="J13" s="56" t="s">
        <v>106</v>
      </c>
      <c r="K13" s="56" t="e">
        <v>#N/A</v>
      </c>
      <c r="L13" s="56" t="e">
        <v>#N/A</v>
      </c>
      <c r="N13" s="55"/>
      <c r="O13" s="56"/>
      <c r="P13" s="60" t="e">
        <v>#REF!</v>
      </c>
      <c r="Q13" s="55"/>
      <c r="R13" s="55"/>
    </row>
    <row r="14" spans="1:20" x14ac:dyDescent="0.25">
      <c r="A14" s="61" t="s">
        <v>107</v>
      </c>
      <c r="B14" s="56">
        <v>10</v>
      </c>
      <c r="C14" s="56">
        <f t="shared" si="0"/>
        <v>15</v>
      </c>
      <c r="D14" s="56">
        <v>20</v>
      </c>
      <c r="E14" s="62">
        <v>2</v>
      </c>
      <c r="F14" s="62">
        <v>3</v>
      </c>
      <c r="G14" s="56" t="s">
        <v>108</v>
      </c>
      <c r="H14" s="63" t="s">
        <v>109</v>
      </c>
      <c r="I14" s="56" t="s">
        <v>85</v>
      </c>
      <c r="J14" s="56" t="s">
        <v>109</v>
      </c>
      <c r="K14" s="62">
        <v>36986</v>
      </c>
      <c r="L14" s="62">
        <v>453</v>
      </c>
      <c r="N14" s="65" t="s">
        <v>110</v>
      </c>
      <c r="O14" s="62">
        <v>5</v>
      </c>
      <c r="P14" s="60" t="e">
        <v>#REF!</v>
      </c>
      <c r="Q14" s="55"/>
      <c r="R14" s="55"/>
    </row>
    <row r="15" spans="1:20" x14ac:dyDescent="0.25">
      <c r="A15" s="61" t="s">
        <v>111</v>
      </c>
      <c r="B15" s="56" t="e">
        <v>#N/A</v>
      </c>
      <c r="C15" s="56" t="e">
        <f t="shared" si="0"/>
        <v>#N/A</v>
      </c>
      <c r="D15" s="56" t="e">
        <v>#N/A</v>
      </c>
      <c r="E15" s="56" t="e">
        <v>#N/A</v>
      </c>
      <c r="F15" s="56" t="e">
        <v>#N/A</v>
      </c>
      <c r="G15" s="56" t="e">
        <v>#N/A</v>
      </c>
      <c r="H15" s="57" t="s">
        <v>112</v>
      </c>
      <c r="I15" s="56" t="s">
        <v>85</v>
      </c>
      <c r="J15" s="58" t="s">
        <v>112</v>
      </c>
      <c r="K15" s="56" t="e">
        <v>#N/A</v>
      </c>
      <c r="L15" s="56" t="e">
        <v>#N/A</v>
      </c>
      <c r="N15" s="55"/>
      <c r="O15" s="56"/>
      <c r="P15" s="60" t="e">
        <v>#REF!</v>
      </c>
      <c r="Q15" s="55"/>
      <c r="R15" s="55"/>
    </row>
    <row r="16" spans="1:20" x14ac:dyDescent="0.25">
      <c r="A16" s="61" t="s">
        <v>113</v>
      </c>
      <c r="B16" s="56" t="e">
        <v>#N/A</v>
      </c>
      <c r="C16" s="56" t="e">
        <f t="shared" si="0"/>
        <v>#N/A</v>
      </c>
      <c r="D16" s="56" t="e">
        <v>#N/A</v>
      </c>
      <c r="E16" s="56" t="e">
        <v>#N/A</v>
      </c>
      <c r="F16" s="56" t="e">
        <v>#N/A</v>
      </c>
      <c r="G16" s="56" t="e">
        <v>#N/A</v>
      </c>
      <c r="H16" s="57" t="s">
        <v>114</v>
      </c>
      <c r="I16" s="56" t="s">
        <v>85</v>
      </c>
      <c r="J16" s="58" t="s">
        <v>115</v>
      </c>
      <c r="K16" s="56" t="e">
        <v>#N/A</v>
      </c>
      <c r="L16" s="56" t="e">
        <v>#N/A</v>
      </c>
      <c r="N16" s="55"/>
      <c r="O16" s="56"/>
      <c r="P16" s="60" t="e">
        <v>#REF!</v>
      </c>
      <c r="Q16" s="55"/>
      <c r="R16" s="55"/>
    </row>
    <row r="17" spans="1:18" x14ac:dyDescent="0.25">
      <c r="A17" s="61" t="s">
        <v>116</v>
      </c>
      <c r="B17" s="56">
        <v>10</v>
      </c>
      <c r="C17" s="56">
        <f t="shared" si="0"/>
        <v>15</v>
      </c>
      <c r="D17" s="56">
        <v>20</v>
      </c>
      <c r="E17" s="62">
        <v>1</v>
      </c>
      <c r="F17" s="62">
        <v>2</v>
      </c>
      <c r="G17" s="56" t="e">
        <v>#N/A</v>
      </c>
      <c r="H17" s="63" t="s">
        <v>117</v>
      </c>
      <c r="I17" s="56" t="s">
        <v>85</v>
      </c>
      <c r="J17" s="56" t="s">
        <v>117</v>
      </c>
      <c r="K17" s="62">
        <v>62</v>
      </c>
      <c r="L17" s="62">
        <v>1</v>
      </c>
      <c r="N17" s="55"/>
      <c r="O17" s="66">
        <v>6</v>
      </c>
      <c r="P17" s="60" t="e">
        <v>#REF!</v>
      </c>
      <c r="Q17" s="55"/>
      <c r="R17" s="55"/>
    </row>
    <row r="18" spans="1:18" x14ac:dyDescent="0.25">
      <c r="A18" s="61" t="s">
        <v>118</v>
      </c>
      <c r="B18" s="56">
        <v>15</v>
      </c>
      <c r="C18" s="56">
        <f t="shared" si="0"/>
        <v>20</v>
      </c>
      <c r="D18" s="56">
        <v>25</v>
      </c>
      <c r="E18" s="62">
        <v>2</v>
      </c>
      <c r="F18" s="62">
        <v>3</v>
      </c>
      <c r="G18" s="56" t="e">
        <v>#N/A</v>
      </c>
      <c r="H18" s="63" t="s">
        <v>119</v>
      </c>
      <c r="I18" s="56" t="s">
        <v>85</v>
      </c>
      <c r="J18" s="56" t="s">
        <v>119</v>
      </c>
      <c r="K18" s="62">
        <v>4307</v>
      </c>
      <c r="L18" s="62">
        <v>2549</v>
      </c>
      <c r="N18" s="65" t="s">
        <v>100</v>
      </c>
      <c r="O18" s="56"/>
      <c r="P18" s="60" t="e">
        <v>#REF!</v>
      </c>
      <c r="Q18" s="55"/>
      <c r="R18" s="55"/>
    </row>
    <row r="19" spans="1:18" x14ac:dyDescent="0.25">
      <c r="A19" s="61" t="s">
        <v>120</v>
      </c>
      <c r="B19" s="75" t="e">
        <v>#N/A</v>
      </c>
      <c r="C19" s="75" t="e">
        <f t="shared" si="0"/>
        <v>#N/A</v>
      </c>
      <c r="D19" s="75" t="e">
        <v>#N/A</v>
      </c>
      <c r="E19" s="62">
        <v>1</v>
      </c>
      <c r="F19" s="62">
        <v>2</v>
      </c>
      <c r="G19" s="75" t="e">
        <v>#N/A</v>
      </c>
      <c r="H19" s="63" t="s">
        <v>121</v>
      </c>
      <c r="I19" s="56" t="s">
        <v>85</v>
      </c>
      <c r="J19" s="56" t="s">
        <v>121</v>
      </c>
      <c r="K19" s="62">
        <v>342</v>
      </c>
      <c r="L19" s="62">
        <v>48</v>
      </c>
      <c r="N19" s="65" t="s">
        <v>100</v>
      </c>
      <c r="O19" s="56"/>
      <c r="P19" s="60" t="e">
        <v>#REF!</v>
      </c>
      <c r="Q19" s="55"/>
      <c r="R19" s="55"/>
    </row>
    <row r="20" spans="1:18" x14ac:dyDescent="0.25">
      <c r="A20" s="61" t="s">
        <v>122</v>
      </c>
      <c r="B20" s="56" t="e">
        <v>#N/A</v>
      </c>
      <c r="C20" s="56" t="e">
        <f t="shared" si="0"/>
        <v>#N/A</v>
      </c>
      <c r="D20" s="56" t="e">
        <v>#N/A</v>
      </c>
      <c r="E20" s="62">
        <v>1</v>
      </c>
      <c r="F20" s="62">
        <v>2</v>
      </c>
      <c r="G20" s="56" t="e">
        <v>#N/A</v>
      </c>
      <c r="H20" s="63" t="s">
        <v>123</v>
      </c>
      <c r="I20" s="56" t="s">
        <v>85</v>
      </c>
      <c r="J20" s="56" t="s">
        <v>123</v>
      </c>
      <c r="K20" s="62">
        <v>944</v>
      </c>
      <c r="L20" s="62">
        <v>22</v>
      </c>
      <c r="N20" s="65" t="s">
        <v>100</v>
      </c>
      <c r="O20" s="56"/>
      <c r="P20" s="60" t="e">
        <v>#REF!</v>
      </c>
      <c r="Q20" s="55"/>
      <c r="R20" s="55"/>
    </row>
    <row r="21" spans="1:18" x14ac:dyDescent="0.25">
      <c r="A21" s="61" t="s">
        <v>124</v>
      </c>
      <c r="B21" s="56">
        <v>5</v>
      </c>
      <c r="C21" s="56">
        <f t="shared" si="0"/>
        <v>7.5</v>
      </c>
      <c r="D21" s="56">
        <v>10</v>
      </c>
      <c r="E21" s="62"/>
      <c r="F21" s="62">
        <v>15</v>
      </c>
      <c r="G21" s="56" t="e">
        <v>#N/A</v>
      </c>
      <c r="H21" s="63" t="s">
        <v>125</v>
      </c>
      <c r="I21" s="56" t="s">
        <v>85</v>
      </c>
      <c r="J21" s="56" t="s">
        <v>125</v>
      </c>
      <c r="K21" s="62">
        <v>2956</v>
      </c>
      <c r="L21" s="62">
        <v>1</v>
      </c>
      <c r="N21" s="65"/>
      <c r="O21" s="62" t="s">
        <v>126</v>
      </c>
      <c r="P21" s="60" t="e">
        <v>#REF!</v>
      </c>
      <c r="Q21" s="55"/>
      <c r="R21" s="55"/>
    </row>
    <row r="22" spans="1:18" x14ac:dyDescent="0.25">
      <c r="A22" s="61" t="s">
        <v>127</v>
      </c>
      <c r="B22" s="75">
        <v>15</v>
      </c>
      <c r="C22" s="75">
        <f t="shared" si="0"/>
        <v>20</v>
      </c>
      <c r="D22" s="75">
        <v>25</v>
      </c>
      <c r="E22" s="62">
        <v>2</v>
      </c>
      <c r="F22" s="62">
        <v>3</v>
      </c>
      <c r="G22" s="75" t="s">
        <v>128</v>
      </c>
      <c r="H22" s="63" t="s">
        <v>235</v>
      </c>
      <c r="I22" s="56" t="s">
        <v>85</v>
      </c>
      <c r="J22" s="56" t="s">
        <v>129</v>
      </c>
      <c r="K22" s="62">
        <v>28892</v>
      </c>
      <c r="L22" s="62">
        <v>4881</v>
      </c>
      <c r="N22" s="65" t="s">
        <v>110</v>
      </c>
      <c r="O22" s="56"/>
      <c r="P22" s="60" t="e">
        <v>#REF!</v>
      </c>
      <c r="Q22" s="55"/>
      <c r="R22" s="55"/>
    </row>
    <row r="23" spans="1:18" x14ac:dyDescent="0.25">
      <c r="A23" s="61" t="s">
        <v>130</v>
      </c>
      <c r="B23" s="75" t="e">
        <v>#N/A</v>
      </c>
      <c r="C23" s="75" t="e">
        <f t="shared" si="0"/>
        <v>#N/A</v>
      </c>
      <c r="D23" s="75" t="e">
        <v>#N/A</v>
      </c>
      <c r="E23" s="56" t="e">
        <v>#N/A</v>
      </c>
      <c r="F23" s="56" t="e">
        <v>#N/A</v>
      </c>
      <c r="G23" s="75" t="s">
        <v>128</v>
      </c>
      <c r="H23" s="63" t="s">
        <v>131</v>
      </c>
      <c r="I23" s="56" t="s">
        <v>85</v>
      </c>
      <c r="J23" s="56" t="s">
        <v>131</v>
      </c>
      <c r="K23" s="56" t="e">
        <v>#N/A</v>
      </c>
      <c r="L23" s="56" t="e">
        <v>#N/A</v>
      </c>
      <c r="N23" s="55"/>
      <c r="O23" s="56"/>
      <c r="P23" s="60" t="e">
        <v>#REF!</v>
      </c>
      <c r="Q23" s="55"/>
      <c r="R23" s="55"/>
    </row>
    <row r="24" spans="1:18" x14ac:dyDescent="0.25">
      <c r="A24" s="61" t="s">
        <v>132</v>
      </c>
      <c r="B24" s="75" t="e">
        <v>#N/A</v>
      </c>
      <c r="C24" s="75" t="e">
        <f t="shared" si="0"/>
        <v>#N/A</v>
      </c>
      <c r="D24" s="75" t="e">
        <v>#N/A</v>
      </c>
      <c r="E24" s="56" t="e">
        <v>#N/A</v>
      </c>
      <c r="F24" s="56" t="e">
        <v>#N/A</v>
      </c>
      <c r="G24" s="75" t="s">
        <v>128</v>
      </c>
      <c r="H24" s="63" t="s">
        <v>133</v>
      </c>
      <c r="I24" s="56" t="s">
        <v>85</v>
      </c>
      <c r="J24" s="56" t="s">
        <v>133</v>
      </c>
      <c r="K24" s="56" t="e">
        <v>#N/A</v>
      </c>
      <c r="L24" s="56" t="e">
        <v>#N/A</v>
      </c>
      <c r="N24" s="55"/>
      <c r="O24" s="56"/>
      <c r="P24" s="60" t="e">
        <v>#REF!</v>
      </c>
      <c r="Q24" s="55"/>
      <c r="R24" s="55"/>
    </row>
    <row r="25" spans="1:18" x14ac:dyDescent="0.25">
      <c r="A25" s="61" t="s">
        <v>134</v>
      </c>
      <c r="B25" s="75" t="e">
        <v>#N/A</v>
      </c>
      <c r="C25" s="75" t="e">
        <f t="shared" si="0"/>
        <v>#N/A</v>
      </c>
      <c r="D25" s="75" t="e">
        <v>#N/A</v>
      </c>
      <c r="E25" s="56" t="e">
        <v>#N/A</v>
      </c>
      <c r="F25" s="56" t="e">
        <v>#N/A</v>
      </c>
      <c r="G25" s="75" t="e">
        <v>#N/A</v>
      </c>
      <c r="H25" s="57" t="s">
        <v>135</v>
      </c>
      <c r="I25" s="56" t="s">
        <v>85</v>
      </c>
      <c r="J25" s="58" t="s">
        <v>136</v>
      </c>
      <c r="K25" s="56" t="e">
        <v>#N/A</v>
      </c>
      <c r="L25" s="56" t="e">
        <v>#N/A</v>
      </c>
      <c r="N25" s="55"/>
      <c r="O25" s="56"/>
      <c r="P25" s="60" t="e">
        <v>#REF!</v>
      </c>
      <c r="Q25" s="55"/>
      <c r="R25" s="55"/>
    </row>
    <row r="26" spans="1:18" x14ac:dyDescent="0.25">
      <c r="A26" s="61" t="s">
        <v>137</v>
      </c>
      <c r="B26" s="75">
        <v>10</v>
      </c>
      <c r="C26" s="75">
        <f t="shared" si="0"/>
        <v>12.5</v>
      </c>
      <c r="D26" s="75">
        <v>15</v>
      </c>
      <c r="E26" s="56">
        <v>2</v>
      </c>
      <c r="F26" s="56">
        <v>3</v>
      </c>
      <c r="G26" s="75" t="s">
        <v>128</v>
      </c>
      <c r="H26" s="63" t="s">
        <v>138</v>
      </c>
      <c r="I26" s="56" t="s">
        <v>85</v>
      </c>
      <c r="J26" s="56" t="s">
        <v>138</v>
      </c>
      <c r="K26" s="62">
        <v>7546</v>
      </c>
      <c r="L26" s="62">
        <v>2567</v>
      </c>
      <c r="N26" s="65" t="s">
        <v>100</v>
      </c>
      <c r="O26" s="62">
        <v>14</v>
      </c>
      <c r="P26" s="60" t="e">
        <v>#REF!</v>
      </c>
      <c r="Q26" s="55"/>
      <c r="R26" s="55"/>
    </row>
    <row r="27" spans="1:18" x14ac:dyDescent="0.25">
      <c r="A27" s="61" t="s">
        <v>139</v>
      </c>
      <c r="B27" s="56">
        <v>15</v>
      </c>
      <c r="C27" s="56">
        <f t="shared" si="0"/>
        <v>20</v>
      </c>
      <c r="D27" s="56">
        <v>25</v>
      </c>
      <c r="E27" s="56">
        <v>1</v>
      </c>
      <c r="F27" s="56">
        <v>2</v>
      </c>
      <c r="G27" s="56" t="e">
        <v>#N/A</v>
      </c>
      <c r="H27" s="63" t="s">
        <v>140</v>
      </c>
      <c r="I27" s="56" t="s">
        <v>85</v>
      </c>
      <c r="J27" s="56" t="s">
        <v>140</v>
      </c>
      <c r="K27" s="62">
        <v>1227</v>
      </c>
      <c r="L27" s="62">
        <v>1</v>
      </c>
      <c r="N27" s="55"/>
      <c r="O27" s="56"/>
      <c r="P27" s="60" t="e">
        <v>#REF!</v>
      </c>
      <c r="Q27" s="55"/>
      <c r="R27" s="55"/>
    </row>
    <row r="28" spans="1:18" x14ac:dyDescent="0.25">
      <c r="A28" s="61" t="s">
        <v>141</v>
      </c>
      <c r="B28" s="56">
        <v>15</v>
      </c>
      <c r="C28" s="56">
        <f t="shared" si="0"/>
        <v>20</v>
      </c>
      <c r="D28" s="56">
        <v>25</v>
      </c>
      <c r="E28" s="56">
        <v>2</v>
      </c>
      <c r="F28" s="56">
        <v>3</v>
      </c>
      <c r="G28" s="56" t="s">
        <v>142</v>
      </c>
      <c r="H28" s="63" t="s">
        <v>143</v>
      </c>
      <c r="I28" s="56" t="s">
        <v>85</v>
      </c>
      <c r="J28" s="56" t="s">
        <v>143</v>
      </c>
      <c r="K28" s="62">
        <v>7963</v>
      </c>
      <c r="L28" s="62">
        <v>724</v>
      </c>
      <c r="N28" s="65" t="s">
        <v>100</v>
      </c>
      <c r="O28" s="56"/>
      <c r="P28" s="60" t="e">
        <v>#REF!</v>
      </c>
      <c r="Q28" s="55"/>
      <c r="R28" s="55"/>
    </row>
    <row r="29" spans="1:18" x14ac:dyDescent="0.25">
      <c r="A29" s="61" t="s">
        <v>144</v>
      </c>
      <c r="B29" s="56" t="e">
        <v>#N/A</v>
      </c>
      <c r="C29" s="56" t="e">
        <f t="shared" si="0"/>
        <v>#N/A</v>
      </c>
      <c r="D29" s="56" t="e">
        <v>#N/A</v>
      </c>
      <c r="E29" s="56" t="e">
        <v>#N/A</v>
      </c>
      <c r="F29" s="56" t="e">
        <v>#N/A</v>
      </c>
      <c r="G29" s="56" t="e">
        <v>#N/A</v>
      </c>
      <c r="H29" s="63" t="s">
        <v>145</v>
      </c>
      <c r="I29" s="56" t="s">
        <v>85</v>
      </c>
      <c r="J29" s="56" t="s">
        <v>145</v>
      </c>
      <c r="K29" s="62">
        <v>14584</v>
      </c>
      <c r="L29" s="62">
        <v>548</v>
      </c>
      <c r="N29" s="55"/>
      <c r="O29" s="56"/>
      <c r="P29" s="60" t="e">
        <v>#REF!</v>
      </c>
      <c r="Q29" s="55"/>
      <c r="R29" s="55"/>
    </row>
    <row r="30" spans="1:18" x14ac:dyDescent="0.25">
      <c r="A30" s="61" t="s">
        <v>146</v>
      </c>
      <c r="B30" s="56" t="e">
        <v>#N/A</v>
      </c>
      <c r="C30" s="56" t="e">
        <f t="shared" si="0"/>
        <v>#N/A</v>
      </c>
      <c r="D30" s="56" t="e">
        <v>#N/A</v>
      </c>
      <c r="E30" s="56" t="e">
        <v>#N/A</v>
      </c>
      <c r="F30" s="56" t="e">
        <v>#N/A</v>
      </c>
      <c r="G30" s="56" t="e">
        <v>#N/A</v>
      </c>
      <c r="H30" s="63" t="s">
        <v>145</v>
      </c>
      <c r="I30" s="56" t="s">
        <v>85</v>
      </c>
      <c r="J30" s="56" t="s">
        <v>145</v>
      </c>
      <c r="K30" s="56" t="e">
        <v>#N/A</v>
      </c>
      <c r="L30" s="56" t="e">
        <v>#N/A</v>
      </c>
      <c r="N30" s="55"/>
      <c r="O30" s="56"/>
      <c r="P30" s="60" t="e">
        <v>#REF!</v>
      </c>
      <c r="Q30" s="55"/>
      <c r="R30" s="55"/>
    </row>
    <row r="31" spans="1:18" x14ac:dyDescent="0.25">
      <c r="A31" s="61" t="s">
        <v>147</v>
      </c>
      <c r="B31" s="56" t="e">
        <v>#N/A</v>
      </c>
      <c r="C31" s="56" t="e">
        <f t="shared" si="0"/>
        <v>#N/A</v>
      </c>
      <c r="D31" s="56" t="e">
        <v>#N/A</v>
      </c>
      <c r="E31" s="56" t="e">
        <v>#N/A</v>
      </c>
      <c r="F31" s="56" t="e">
        <v>#N/A</v>
      </c>
      <c r="G31" s="56" t="e">
        <v>#N/A</v>
      </c>
      <c r="H31" s="63" t="s">
        <v>148</v>
      </c>
      <c r="I31" s="56" t="s">
        <v>85</v>
      </c>
      <c r="J31" s="56" t="s">
        <v>148</v>
      </c>
      <c r="K31" s="56" t="e">
        <v>#N/A</v>
      </c>
      <c r="L31" s="56" t="e">
        <v>#N/A</v>
      </c>
      <c r="N31" s="55"/>
      <c r="O31" s="56"/>
      <c r="P31" s="60" t="e">
        <v>#REF!</v>
      </c>
      <c r="Q31" s="55"/>
      <c r="R31" s="55"/>
    </row>
    <row r="32" spans="1:18" x14ac:dyDescent="0.25">
      <c r="A32" s="61" t="s">
        <v>149</v>
      </c>
      <c r="B32" s="56" t="e">
        <v>#N/A</v>
      </c>
      <c r="C32" s="56" t="e">
        <f t="shared" si="0"/>
        <v>#N/A</v>
      </c>
      <c r="D32" s="56" t="e">
        <v>#N/A</v>
      </c>
      <c r="E32" s="56">
        <v>2</v>
      </c>
      <c r="F32" s="56">
        <v>3</v>
      </c>
      <c r="G32" s="56" t="e">
        <v>#N/A</v>
      </c>
      <c r="H32" s="63" t="s">
        <v>150</v>
      </c>
      <c r="I32" s="56" t="s">
        <v>85</v>
      </c>
      <c r="J32" s="56" t="s">
        <v>150</v>
      </c>
      <c r="K32" s="62">
        <v>5814</v>
      </c>
      <c r="L32" s="62">
        <v>1</v>
      </c>
      <c r="N32" s="55"/>
      <c r="O32" s="56"/>
      <c r="P32" s="60" t="e">
        <v>#REF!</v>
      </c>
      <c r="Q32" s="55"/>
      <c r="R32" s="55"/>
    </row>
    <row r="33" spans="1:18" x14ac:dyDescent="0.25">
      <c r="A33" s="61" t="s">
        <v>151</v>
      </c>
      <c r="B33" s="75">
        <v>20</v>
      </c>
      <c r="C33" s="75">
        <f t="shared" si="0"/>
        <v>25</v>
      </c>
      <c r="D33" s="75">
        <v>30</v>
      </c>
      <c r="E33" s="56">
        <v>2</v>
      </c>
      <c r="F33" s="56">
        <v>3</v>
      </c>
      <c r="G33" s="75" t="s">
        <v>142</v>
      </c>
      <c r="H33" s="63" t="s">
        <v>152</v>
      </c>
      <c r="I33" s="56" t="s">
        <v>85</v>
      </c>
      <c r="J33" s="56" t="s">
        <v>152</v>
      </c>
      <c r="K33" s="62">
        <v>157017</v>
      </c>
      <c r="L33" s="62">
        <v>22162</v>
      </c>
      <c r="N33" s="65" t="s">
        <v>153</v>
      </c>
      <c r="O33" s="62">
        <v>10</v>
      </c>
      <c r="P33" s="60" t="e">
        <v>#REF!</v>
      </c>
      <c r="Q33" s="55"/>
      <c r="R33" s="55"/>
    </row>
    <row r="34" spans="1:18" x14ac:dyDescent="0.25">
      <c r="A34" s="61" t="s">
        <v>154</v>
      </c>
      <c r="B34" s="75">
        <v>10</v>
      </c>
      <c r="C34" s="75">
        <f t="shared" si="0"/>
        <v>15</v>
      </c>
      <c r="D34" s="75">
        <v>20</v>
      </c>
      <c r="E34" s="56">
        <v>2</v>
      </c>
      <c r="F34" s="56">
        <v>3</v>
      </c>
      <c r="G34" s="75" t="s">
        <v>142</v>
      </c>
      <c r="H34" s="63" t="s">
        <v>155</v>
      </c>
      <c r="I34" s="56" t="s">
        <v>85</v>
      </c>
      <c r="J34" s="56" t="s">
        <v>155</v>
      </c>
      <c r="K34" s="62">
        <v>12492</v>
      </c>
      <c r="L34" s="62">
        <v>1634</v>
      </c>
      <c r="N34" s="65" t="s">
        <v>100</v>
      </c>
      <c r="O34" s="62">
        <v>19</v>
      </c>
      <c r="P34" s="60" t="e">
        <v>#REF!</v>
      </c>
      <c r="Q34" s="55"/>
      <c r="R34" s="55"/>
    </row>
    <row r="35" spans="1:18" x14ac:dyDescent="0.25">
      <c r="A35" s="55" t="s">
        <v>156</v>
      </c>
      <c r="B35" s="56">
        <v>5</v>
      </c>
      <c r="C35" s="56">
        <f t="shared" si="0"/>
        <v>7.5</v>
      </c>
      <c r="D35" s="56">
        <v>10</v>
      </c>
      <c r="E35" s="56">
        <v>1</v>
      </c>
      <c r="F35" s="56">
        <v>2</v>
      </c>
      <c r="G35" s="56" t="s">
        <v>128</v>
      </c>
      <c r="H35" s="63" t="s">
        <v>157</v>
      </c>
      <c r="I35" s="56" t="s">
        <v>85</v>
      </c>
      <c r="J35" s="56" t="s">
        <v>157</v>
      </c>
      <c r="K35" s="62">
        <v>5506</v>
      </c>
      <c r="L35" s="62">
        <v>617</v>
      </c>
      <c r="N35" s="65" t="s">
        <v>100</v>
      </c>
      <c r="O35" s="62">
        <v>14</v>
      </c>
      <c r="P35" s="60" t="e">
        <v>#REF!</v>
      </c>
      <c r="Q35" s="55"/>
      <c r="R35" s="55"/>
    </row>
    <row r="36" spans="1:18" x14ac:dyDescent="0.25">
      <c r="A36" s="55" t="s">
        <v>158</v>
      </c>
      <c r="B36" s="56">
        <v>5</v>
      </c>
      <c r="C36" s="56">
        <f t="shared" si="0"/>
        <v>7.5</v>
      </c>
      <c r="D36" s="56">
        <v>10</v>
      </c>
      <c r="E36" s="56">
        <v>1</v>
      </c>
      <c r="F36" s="56">
        <v>2</v>
      </c>
      <c r="G36" s="56" t="s">
        <v>128</v>
      </c>
      <c r="H36" s="63" t="s">
        <v>159</v>
      </c>
      <c r="I36" s="56" t="s">
        <v>85</v>
      </c>
      <c r="J36" s="56" t="s">
        <v>159</v>
      </c>
      <c r="K36" s="62">
        <v>24947</v>
      </c>
      <c r="L36" s="62">
        <v>497</v>
      </c>
      <c r="N36" s="65" t="s">
        <v>100</v>
      </c>
      <c r="O36" s="62">
        <v>14</v>
      </c>
      <c r="P36" s="60" t="e">
        <v>#REF!</v>
      </c>
      <c r="Q36" s="55"/>
      <c r="R36" s="55"/>
    </row>
    <row r="37" spans="1:18" x14ac:dyDescent="0.25">
      <c r="A37" s="55" t="s">
        <v>160</v>
      </c>
      <c r="B37" s="56">
        <v>10</v>
      </c>
      <c r="C37" s="56">
        <f t="shared" si="0"/>
        <v>12.5</v>
      </c>
      <c r="D37" s="56">
        <v>15</v>
      </c>
      <c r="E37" s="56">
        <v>1</v>
      </c>
      <c r="F37" s="56">
        <v>3</v>
      </c>
      <c r="G37" s="56" t="s">
        <v>108</v>
      </c>
      <c r="H37" s="63" t="s">
        <v>161</v>
      </c>
      <c r="I37" s="56" t="s">
        <v>85</v>
      </c>
      <c r="J37" s="56" t="s">
        <v>161</v>
      </c>
      <c r="K37" s="62">
        <v>9660</v>
      </c>
      <c r="L37" s="62">
        <v>346</v>
      </c>
      <c r="N37" s="65" t="s">
        <v>100</v>
      </c>
      <c r="O37" s="62">
        <v>14</v>
      </c>
      <c r="P37" s="60" t="e">
        <v>#REF!</v>
      </c>
      <c r="Q37" s="55"/>
      <c r="R37" s="55"/>
    </row>
    <row r="38" spans="1:18" x14ac:dyDescent="0.25">
      <c r="A38" s="55" t="s">
        <v>162</v>
      </c>
      <c r="B38" s="56">
        <v>5</v>
      </c>
      <c r="C38" s="56">
        <f t="shared" si="0"/>
        <v>7.5</v>
      </c>
      <c r="D38" s="56">
        <v>10</v>
      </c>
      <c r="E38" s="56">
        <v>1</v>
      </c>
      <c r="F38" s="56">
        <v>3</v>
      </c>
      <c r="G38" s="56" t="e">
        <v>#N/A</v>
      </c>
      <c r="H38" s="63" t="s">
        <v>163</v>
      </c>
      <c r="I38" s="56" t="s">
        <v>85</v>
      </c>
      <c r="J38" s="56" t="s">
        <v>163</v>
      </c>
      <c r="K38" s="62">
        <v>473</v>
      </c>
      <c r="L38" s="62">
        <v>6</v>
      </c>
      <c r="N38" s="65" t="s">
        <v>100</v>
      </c>
      <c r="O38" s="62">
        <v>14</v>
      </c>
      <c r="P38" s="60" t="e">
        <v>#REF!</v>
      </c>
      <c r="Q38" s="55"/>
      <c r="R38" s="55"/>
    </row>
    <row r="39" spans="1:18" x14ac:dyDescent="0.25">
      <c r="A39" s="55" t="s">
        <v>164</v>
      </c>
      <c r="B39" s="56">
        <v>15</v>
      </c>
      <c r="C39" s="56">
        <f t="shared" si="0"/>
        <v>20</v>
      </c>
      <c r="D39" s="56">
        <v>25</v>
      </c>
      <c r="E39" s="56">
        <v>1</v>
      </c>
      <c r="F39" s="56">
        <v>3</v>
      </c>
      <c r="G39" s="56" t="e">
        <v>#N/A</v>
      </c>
      <c r="H39" s="63" t="s">
        <v>165</v>
      </c>
      <c r="I39" s="56" t="s">
        <v>85</v>
      </c>
      <c r="J39" s="56" t="s">
        <v>165</v>
      </c>
      <c r="K39" s="62">
        <v>1355</v>
      </c>
      <c r="L39" s="62">
        <v>49</v>
      </c>
      <c r="N39" s="65" t="s">
        <v>100</v>
      </c>
      <c r="O39" s="56"/>
      <c r="P39" s="60" t="e">
        <v>#REF!</v>
      </c>
      <c r="Q39" s="55"/>
      <c r="R39" s="55"/>
    </row>
    <row r="40" spans="1:18" x14ac:dyDescent="0.25">
      <c r="A40" s="55" t="s">
        <v>166</v>
      </c>
      <c r="B40" s="56" t="e">
        <v>#N/A</v>
      </c>
      <c r="C40" s="56" t="e">
        <f t="shared" si="0"/>
        <v>#N/A</v>
      </c>
      <c r="D40" s="56" t="e">
        <v>#N/A</v>
      </c>
      <c r="E40" s="56" t="e">
        <v>#N/A</v>
      </c>
      <c r="F40" s="56" t="e">
        <v>#N/A</v>
      </c>
      <c r="G40" s="56" t="s">
        <v>142</v>
      </c>
      <c r="H40" s="63" t="s">
        <v>167</v>
      </c>
      <c r="I40" s="56" t="s">
        <v>85</v>
      </c>
      <c r="J40" s="56" t="s">
        <v>167</v>
      </c>
      <c r="K40" s="62">
        <v>370</v>
      </c>
      <c r="L40" s="62">
        <v>58</v>
      </c>
      <c r="N40" s="55"/>
      <c r="O40" s="56"/>
      <c r="P40" s="60" t="e">
        <v>#REF!</v>
      </c>
      <c r="Q40" s="55"/>
      <c r="R40" s="55"/>
    </row>
    <row r="41" spans="1:18" x14ac:dyDescent="0.25">
      <c r="A41" s="55" t="s">
        <v>168</v>
      </c>
      <c r="B41" s="56">
        <v>10</v>
      </c>
      <c r="C41" s="56">
        <f t="shared" si="0"/>
        <v>12.5</v>
      </c>
      <c r="D41" s="56">
        <v>15</v>
      </c>
      <c r="E41" s="56">
        <v>1</v>
      </c>
      <c r="F41" s="56">
        <v>2</v>
      </c>
      <c r="G41" s="56" t="s">
        <v>142</v>
      </c>
      <c r="H41" s="63" t="s">
        <v>169</v>
      </c>
      <c r="I41" s="56" t="s">
        <v>85</v>
      </c>
      <c r="J41" s="56" t="s">
        <v>169</v>
      </c>
      <c r="K41" s="62">
        <v>7240</v>
      </c>
      <c r="L41" s="62">
        <v>181</v>
      </c>
      <c r="N41" s="65" t="s">
        <v>100</v>
      </c>
      <c r="O41" s="56"/>
      <c r="P41" s="60" t="e">
        <v>#REF!</v>
      </c>
      <c r="Q41" s="55"/>
      <c r="R41" s="55"/>
    </row>
    <row r="42" spans="1:18" x14ac:dyDescent="0.25">
      <c r="A42" s="55" t="s">
        <v>170</v>
      </c>
      <c r="B42" s="56" t="e">
        <v>#N/A</v>
      </c>
      <c r="C42" s="56" t="e">
        <f t="shared" si="0"/>
        <v>#N/A</v>
      </c>
      <c r="D42" s="56" t="e">
        <v>#N/A</v>
      </c>
      <c r="E42" s="56">
        <v>1</v>
      </c>
      <c r="F42" s="56">
        <v>2</v>
      </c>
      <c r="G42" s="56" t="e">
        <v>#N/A</v>
      </c>
      <c r="H42" s="63" t="s">
        <v>171</v>
      </c>
      <c r="I42" s="56" t="s">
        <v>85</v>
      </c>
      <c r="J42" s="56" t="s">
        <v>171</v>
      </c>
      <c r="K42" s="62">
        <v>382</v>
      </c>
      <c r="L42" s="62">
        <v>3</v>
      </c>
      <c r="N42" s="55"/>
      <c r="O42" s="62">
        <v>10</v>
      </c>
      <c r="P42" s="60" t="e">
        <v>#REF!</v>
      </c>
      <c r="Q42" s="55"/>
      <c r="R42" s="55"/>
    </row>
    <row r="43" spans="1:18" x14ac:dyDescent="0.25">
      <c r="A43" s="61" t="s">
        <v>172</v>
      </c>
      <c r="B43" s="56" t="e">
        <v>#N/A</v>
      </c>
      <c r="C43" s="56" t="e">
        <f t="shared" si="0"/>
        <v>#N/A</v>
      </c>
      <c r="D43" s="56" t="e">
        <v>#N/A</v>
      </c>
      <c r="E43" s="56" t="e">
        <v>#N/A</v>
      </c>
      <c r="F43" s="56" t="e">
        <v>#N/A</v>
      </c>
      <c r="G43" s="56" t="e">
        <v>#N/A</v>
      </c>
      <c r="H43" s="63" t="s">
        <v>173</v>
      </c>
      <c r="I43" s="56" t="s">
        <v>85</v>
      </c>
      <c r="J43" s="56" t="s">
        <v>174</v>
      </c>
      <c r="K43" s="56" t="e">
        <v>#N/A</v>
      </c>
      <c r="L43" s="56" t="e">
        <v>#N/A</v>
      </c>
      <c r="N43" s="55"/>
      <c r="O43" s="62"/>
      <c r="P43" s="60" t="e">
        <v>#REF!</v>
      </c>
      <c r="Q43" s="55"/>
      <c r="R43" s="55"/>
    </row>
    <row r="44" spans="1:18" x14ac:dyDescent="0.25">
      <c r="A44" s="55" t="s">
        <v>175</v>
      </c>
      <c r="B44" s="56" t="e">
        <v>#N/A</v>
      </c>
      <c r="C44" s="56" t="e">
        <f t="shared" si="0"/>
        <v>#N/A</v>
      </c>
      <c r="D44" s="56" t="e">
        <v>#N/A</v>
      </c>
      <c r="E44" s="56">
        <v>1</v>
      </c>
      <c r="F44" s="56">
        <v>2</v>
      </c>
      <c r="G44" s="56" t="e">
        <v>#N/A</v>
      </c>
      <c r="H44" s="63" t="s">
        <v>176</v>
      </c>
      <c r="I44" s="56" t="s">
        <v>85</v>
      </c>
      <c r="J44" s="56" t="s">
        <v>176</v>
      </c>
      <c r="K44" s="62">
        <v>551</v>
      </c>
      <c r="L44" s="62">
        <v>163</v>
      </c>
      <c r="N44" s="65" t="s">
        <v>100</v>
      </c>
      <c r="O44" s="62">
        <v>10</v>
      </c>
      <c r="P44" s="60" t="e">
        <v>#REF!</v>
      </c>
      <c r="Q44" s="55"/>
      <c r="R44" s="55"/>
    </row>
    <row r="45" spans="1:18" x14ac:dyDescent="0.25">
      <c r="A45" s="55" t="s">
        <v>177</v>
      </c>
      <c r="B45" s="56" t="e">
        <v>#N/A</v>
      </c>
      <c r="C45" s="56" t="e">
        <f t="shared" si="0"/>
        <v>#N/A</v>
      </c>
      <c r="D45" s="56" t="e">
        <v>#N/A</v>
      </c>
      <c r="E45" s="56">
        <v>1</v>
      </c>
      <c r="F45" s="56">
        <v>3</v>
      </c>
      <c r="G45" s="56" t="e">
        <v>#N/A</v>
      </c>
      <c r="H45" s="63" t="s">
        <v>178</v>
      </c>
      <c r="I45" s="56" t="s">
        <v>85</v>
      </c>
      <c r="J45" s="56" t="s">
        <v>178</v>
      </c>
      <c r="K45" s="62">
        <v>653</v>
      </c>
      <c r="L45" s="62">
        <v>80</v>
      </c>
      <c r="N45" s="65" t="s">
        <v>100</v>
      </c>
      <c r="O45" s="62">
        <v>10</v>
      </c>
      <c r="P45" s="60" t="e">
        <v>#REF!</v>
      </c>
      <c r="Q45" s="55"/>
      <c r="R45" s="55"/>
    </row>
    <row r="46" spans="1:18" x14ac:dyDescent="0.25">
      <c r="A46" s="55" t="s">
        <v>179</v>
      </c>
      <c r="B46" s="56" t="e">
        <v>#N/A</v>
      </c>
      <c r="C46" s="56" t="e">
        <f t="shared" si="0"/>
        <v>#N/A</v>
      </c>
      <c r="D46" s="56" t="e">
        <v>#N/A</v>
      </c>
      <c r="E46" s="56">
        <v>1</v>
      </c>
      <c r="F46" s="56">
        <v>3</v>
      </c>
      <c r="G46" s="56" t="e">
        <v>#N/A</v>
      </c>
      <c r="H46" s="63" t="s">
        <v>180</v>
      </c>
      <c r="I46" s="56" t="s">
        <v>85</v>
      </c>
      <c r="J46" s="56" t="s">
        <v>180</v>
      </c>
      <c r="K46" s="62">
        <v>14927</v>
      </c>
      <c r="L46" s="62">
        <v>332</v>
      </c>
      <c r="N46" s="65" t="s">
        <v>100</v>
      </c>
      <c r="O46" s="62">
        <v>10</v>
      </c>
      <c r="P46" s="60" t="e">
        <v>#REF!</v>
      </c>
      <c r="Q46" s="55"/>
      <c r="R46" s="55"/>
    </row>
    <row r="47" spans="1:18" x14ac:dyDescent="0.25">
      <c r="A47" s="55" t="s">
        <v>181</v>
      </c>
      <c r="B47" s="56" t="e">
        <v>#N/A</v>
      </c>
      <c r="C47" s="56" t="e">
        <f t="shared" si="0"/>
        <v>#N/A</v>
      </c>
      <c r="D47" s="56" t="e">
        <v>#N/A</v>
      </c>
      <c r="E47" s="56">
        <v>1</v>
      </c>
      <c r="F47" s="56">
        <v>2</v>
      </c>
      <c r="G47" s="56" t="e">
        <v>#N/A</v>
      </c>
      <c r="H47" s="63" t="s">
        <v>182</v>
      </c>
      <c r="I47" s="56" t="s">
        <v>85</v>
      </c>
      <c r="J47" s="56" t="s">
        <v>182</v>
      </c>
      <c r="K47" s="62">
        <v>2249</v>
      </c>
      <c r="L47" s="62">
        <v>303</v>
      </c>
      <c r="N47" s="65" t="s">
        <v>100</v>
      </c>
      <c r="O47" s="62">
        <v>10</v>
      </c>
      <c r="P47" s="60" t="e">
        <v>#REF!</v>
      </c>
      <c r="Q47" s="55"/>
      <c r="R47" s="55"/>
    </row>
    <row r="48" spans="1:18" x14ac:dyDescent="0.25">
      <c r="A48" s="55" t="s">
        <v>183</v>
      </c>
      <c r="B48" s="56" t="e">
        <v>#N/A</v>
      </c>
      <c r="C48" s="56" t="e">
        <f t="shared" si="0"/>
        <v>#N/A</v>
      </c>
      <c r="D48" s="56" t="e">
        <v>#N/A</v>
      </c>
      <c r="E48" s="56">
        <v>1</v>
      </c>
      <c r="F48" s="56">
        <v>2</v>
      </c>
      <c r="G48" s="56" t="e">
        <v>#N/A</v>
      </c>
      <c r="H48" s="63" t="s">
        <v>184</v>
      </c>
      <c r="I48" s="56" t="s">
        <v>85</v>
      </c>
      <c r="J48" s="56" t="s">
        <v>184</v>
      </c>
      <c r="K48" s="62">
        <v>592</v>
      </c>
      <c r="L48" s="62">
        <v>14</v>
      </c>
      <c r="N48" s="65" t="s">
        <v>100</v>
      </c>
      <c r="O48" s="62">
        <v>10</v>
      </c>
      <c r="P48" s="60" t="e">
        <v>#REF!</v>
      </c>
      <c r="Q48" s="55"/>
      <c r="R48" s="55"/>
    </row>
    <row r="49" spans="1:18" x14ac:dyDescent="0.25">
      <c r="A49" s="61" t="s">
        <v>185</v>
      </c>
      <c r="B49" s="56" t="e">
        <v>#N/A</v>
      </c>
      <c r="C49" s="56" t="e">
        <f t="shared" si="0"/>
        <v>#N/A</v>
      </c>
      <c r="D49" s="56" t="e">
        <v>#N/A</v>
      </c>
      <c r="E49" s="56" t="e">
        <v>#N/A</v>
      </c>
      <c r="F49" s="56" t="e">
        <v>#N/A</v>
      </c>
      <c r="G49" s="56" t="e">
        <v>#N/A</v>
      </c>
      <c r="H49" s="63" t="s">
        <v>186</v>
      </c>
      <c r="I49" s="56" t="s">
        <v>85</v>
      </c>
      <c r="J49" s="56" t="s">
        <v>186</v>
      </c>
      <c r="K49" s="62">
        <v>64</v>
      </c>
      <c r="L49" s="62">
        <v>4</v>
      </c>
      <c r="N49" s="55"/>
      <c r="O49" s="62">
        <v>12</v>
      </c>
      <c r="P49" s="60" t="e">
        <v>#REF!</v>
      </c>
      <c r="Q49" s="55"/>
      <c r="R49" s="55"/>
    </row>
    <row r="50" spans="1:18" x14ac:dyDescent="0.25">
      <c r="A50" s="55" t="s">
        <v>187</v>
      </c>
      <c r="B50" s="56">
        <v>10</v>
      </c>
      <c r="C50" s="56">
        <f t="shared" si="0"/>
        <v>15</v>
      </c>
      <c r="D50" s="56">
        <v>20</v>
      </c>
      <c r="E50" s="56">
        <v>2</v>
      </c>
      <c r="F50" s="56">
        <v>3</v>
      </c>
      <c r="G50" s="56" t="s">
        <v>142</v>
      </c>
      <c r="H50" s="63" t="s">
        <v>188</v>
      </c>
      <c r="I50" s="56" t="s">
        <v>189</v>
      </c>
      <c r="J50" s="56" t="s">
        <v>188</v>
      </c>
      <c r="K50" s="62">
        <v>203912</v>
      </c>
      <c r="L50" s="62">
        <v>14702</v>
      </c>
      <c r="N50" s="65" t="s">
        <v>190</v>
      </c>
      <c r="O50" s="56"/>
      <c r="P50" s="60" t="e">
        <v>#REF!</v>
      </c>
      <c r="Q50" s="55"/>
      <c r="R50" s="55"/>
    </row>
    <row r="51" spans="1:18" x14ac:dyDescent="0.25">
      <c r="A51" s="61" t="s">
        <v>191</v>
      </c>
      <c r="B51" s="56" t="e">
        <v>#N/A</v>
      </c>
      <c r="C51" s="56" t="e">
        <f t="shared" si="0"/>
        <v>#N/A</v>
      </c>
      <c r="D51" s="56" t="e">
        <v>#N/A</v>
      </c>
      <c r="E51" s="56" t="e">
        <v>#N/A</v>
      </c>
      <c r="F51" s="56" t="e">
        <v>#N/A</v>
      </c>
      <c r="G51" s="56" t="e">
        <v>#N/A</v>
      </c>
      <c r="H51" s="63" t="s">
        <v>192</v>
      </c>
      <c r="I51" s="56" t="s">
        <v>189</v>
      </c>
      <c r="J51" s="56" t="s">
        <v>193</v>
      </c>
      <c r="K51" s="56" t="e">
        <v>#N/A</v>
      </c>
      <c r="L51" s="56" t="e">
        <v>#N/A</v>
      </c>
      <c r="N51" s="55"/>
      <c r="O51" s="56"/>
      <c r="P51" s="60" t="e">
        <v>#REF!</v>
      </c>
      <c r="Q51" s="55"/>
      <c r="R51" s="55"/>
    </row>
    <row r="52" spans="1:18" x14ac:dyDescent="0.25">
      <c r="A52" s="55" t="s">
        <v>194</v>
      </c>
      <c r="B52" s="56">
        <v>10</v>
      </c>
      <c r="C52" s="56">
        <f t="shared" si="0"/>
        <v>15</v>
      </c>
      <c r="D52" s="56">
        <v>20</v>
      </c>
      <c r="E52" s="56">
        <v>2</v>
      </c>
      <c r="F52" s="56">
        <v>4</v>
      </c>
      <c r="G52" s="56" t="s">
        <v>142</v>
      </c>
      <c r="H52" s="63" t="s">
        <v>195</v>
      </c>
      <c r="I52" s="56" t="s">
        <v>189</v>
      </c>
      <c r="J52" s="56" t="s">
        <v>195</v>
      </c>
      <c r="K52" s="62">
        <v>326856</v>
      </c>
      <c r="L52" s="62">
        <v>65930</v>
      </c>
      <c r="N52" s="65" t="s">
        <v>190</v>
      </c>
      <c r="O52" s="56"/>
      <c r="P52" s="60" t="e">
        <v>#REF!</v>
      </c>
      <c r="Q52" s="55"/>
      <c r="R52" s="55"/>
    </row>
    <row r="53" spans="1:18" x14ac:dyDescent="0.25">
      <c r="A53" s="55" t="s">
        <v>196</v>
      </c>
      <c r="B53" s="56">
        <v>10</v>
      </c>
      <c r="C53" s="56">
        <f t="shared" si="0"/>
        <v>15</v>
      </c>
      <c r="D53" s="56">
        <v>20</v>
      </c>
      <c r="E53" s="56">
        <v>2</v>
      </c>
      <c r="F53" s="56">
        <v>4</v>
      </c>
      <c r="G53" s="56" t="s">
        <v>142</v>
      </c>
      <c r="H53" s="63" t="s">
        <v>197</v>
      </c>
      <c r="I53" s="56" t="s">
        <v>189</v>
      </c>
      <c r="J53" s="56" t="s">
        <v>197</v>
      </c>
      <c r="K53" s="62">
        <v>1571</v>
      </c>
      <c r="L53" s="62">
        <v>210</v>
      </c>
      <c r="N53" s="55"/>
      <c r="O53" s="56"/>
      <c r="P53" s="60" t="e">
        <v>#REF!</v>
      </c>
      <c r="Q53" s="55"/>
      <c r="R53" s="55"/>
    </row>
    <row r="54" spans="1:18" x14ac:dyDescent="0.25">
      <c r="A54" s="55" t="s">
        <v>198</v>
      </c>
      <c r="B54" s="56">
        <v>10</v>
      </c>
      <c r="C54" s="56">
        <f t="shared" si="0"/>
        <v>15</v>
      </c>
      <c r="D54" s="56">
        <v>20</v>
      </c>
      <c r="E54" s="56">
        <v>2</v>
      </c>
      <c r="F54" s="56">
        <v>3</v>
      </c>
      <c r="G54" s="56" t="s">
        <v>142</v>
      </c>
      <c r="H54" s="63" t="s">
        <v>199</v>
      </c>
      <c r="I54" s="56" t="s">
        <v>189</v>
      </c>
      <c r="J54" s="56" t="s">
        <v>199</v>
      </c>
      <c r="K54" s="62">
        <v>14598</v>
      </c>
      <c r="L54" s="62">
        <v>1615</v>
      </c>
      <c r="N54" s="65" t="s">
        <v>190</v>
      </c>
      <c r="O54" s="56"/>
      <c r="P54" s="60" t="e">
        <v>#REF!</v>
      </c>
      <c r="Q54" s="55"/>
      <c r="R54" s="55"/>
    </row>
    <row r="55" spans="1:18" x14ac:dyDescent="0.25">
      <c r="A55" s="55" t="s">
        <v>200</v>
      </c>
      <c r="B55" s="56">
        <v>15</v>
      </c>
      <c r="C55" s="56">
        <f t="shared" si="0"/>
        <v>17.5</v>
      </c>
      <c r="D55" s="56">
        <v>20</v>
      </c>
      <c r="E55" s="56">
        <v>2</v>
      </c>
      <c r="F55" s="56">
        <v>4</v>
      </c>
      <c r="G55" s="56" t="s">
        <v>142</v>
      </c>
      <c r="H55" s="63" t="s">
        <v>201</v>
      </c>
      <c r="I55" s="56" t="s">
        <v>189</v>
      </c>
      <c r="J55" s="56" t="s">
        <v>201</v>
      </c>
      <c r="K55" s="62">
        <v>33792</v>
      </c>
      <c r="L55" s="62">
        <v>1734</v>
      </c>
      <c r="N55" s="65">
        <v>1</v>
      </c>
      <c r="O55" s="56"/>
      <c r="P55" s="60" t="e">
        <v>#REF!</v>
      </c>
      <c r="Q55" s="55"/>
      <c r="R55" s="55"/>
    </row>
    <row r="56" spans="1:18" x14ac:dyDescent="0.25">
      <c r="A56" s="55" t="s">
        <v>202</v>
      </c>
      <c r="B56" s="56">
        <v>15</v>
      </c>
      <c r="C56" s="56">
        <f t="shared" si="0"/>
        <v>17.5</v>
      </c>
      <c r="D56" s="56">
        <v>20</v>
      </c>
      <c r="E56" s="56">
        <v>2</v>
      </c>
      <c r="F56" s="56">
        <v>3</v>
      </c>
      <c r="G56" s="56" t="s">
        <v>142</v>
      </c>
      <c r="H56" s="63" t="s">
        <v>203</v>
      </c>
      <c r="I56" s="56" t="s">
        <v>189</v>
      </c>
      <c r="J56" s="56" t="s">
        <v>203</v>
      </c>
      <c r="K56" s="62">
        <v>42234</v>
      </c>
      <c r="L56" s="62">
        <v>573</v>
      </c>
      <c r="N56" s="65" t="s">
        <v>204</v>
      </c>
      <c r="O56" s="56"/>
      <c r="P56" s="60" t="e">
        <v>#REF!</v>
      </c>
      <c r="Q56" s="55"/>
      <c r="R56" s="55"/>
    </row>
    <row r="57" spans="1:18" x14ac:dyDescent="0.25">
      <c r="A57" s="55" t="s">
        <v>205</v>
      </c>
      <c r="B57" s="56">
        <v>15</v>
      </c>
      <c r="C57" s="56">
        <f t="shared" si="0"/>
        <v>17.5</v>
      </c>
      <c r="D57" s="56">
        <v>20</v>
      </c>
      <c r="E57" s="56">
        <v>2</v>
      </c>
      <c r="F57" s="56">
        <v>4</v>
      </c>
      <c r="G57" s="56" t="s">
        <v>142</v>
      </c>
      <c r="H57" s="63" t="s">
        <v>206</v>
      </c>
      <c r="I57" s="56" t="s">
        <v>189</v>
      </c>
      <c r="J57" s="56" t="s">
        <v>206</v>
      </c>
      <c r="K57" s="62">
        <v>13789</v>
      </c>
      <c r="L57" s="62">
        <v>2711</v>
      </c>
      <c r="N57" s="65">
        <v>1</v>
      </c>
      <c r="O57" s="56"/>
      <c r="P57" s="60" t="e">
        <v>#REF!</v>
      </c>
      <c r="Q57" s="55"/>
      <c r="R57" s="55"/>
    </row>
    <row r="58" spans="1:18" x14ac:dyDescent="0.25">
      <c r="A58" s="55" t="s">
        <v>207</v>
      </c>
      <c r="B58" s="56">
        <v>10</v>
      </c>
      <c r="C58" s="56">
        <f t="shared" si="0"/>
        <v>12.5</v>
      </c>
      <c r="D58" s="56">
        <v>15</v>
      </c>
      <c r="E58" s="56">
        <v>1</v>
      </c>
      <c r="F58" s="56">
        <v>2</v>
      </c>
      <c r="G58" s="56" t="s">
        <v>142</v>
      </c>
      <c r="H58" s="63" t="s">
        <v>208</v>
      </c>
      <c r="I58" s="56" t="s">
        <v>189</v>
      </c>
      <c r="J58" s="56" t="s">
        <v>208</v>
      </c>
      <c r="K58" s="62">
        <v>16678</v>
      </c>
      <c r="L58" s="62">
        <v>316</v>
      </c>
      <c r="N58" s="65" t="s">
        <v>204</v>
      </c>
      <c r="O58" s="56"/>
      <c r="P58" s="60" t="e">
        <v>#REF!</v>
      </c>
      <c r="Q58" s="55"/>
      <c r="R58" s="55"/>
    </row>
    <row r="59" spans="1:18" x14ac:dyDescent="0.25">
      <c r="A59" s="55" t="s">
        <v>209</v>
      </c>
      <c r="B59" s="56" t="e">
        <v>#N/A</v>
      </c>
      <c r="C59" s="56" t="e">
        <f t="shared" si="0"/>
        <v>#N/A</v>
      </c>
      <c r="D59" s="56" t="e">
        <v>#N/A</v>
      </c>
      <c r="E59" s="56">
        <v>1</v>
      </c>
      <c r="F59" s="56">
        <v>2</v>
      </c>
      <c r="G59" s="56" t="e">
        <v>#N/A</v>
      </c>
      <c r="H59" s="63" t="s">
        <v>210</v>
      </c>
      <c r="I59" s="56" t="s">
        <v>189</v>
      </c>
      <c r="J59" s="56" t="s">
        <v>210</v>
      </c>
      <c r="K59" s="62">
        <v>24446</v>
      </c>
      <c r="L59" s="62">
        <v>1778</v>
      </c>
      <c r="N59" s="65" t="s">
        <v>204</v>
      </c>
      <c r="O59" s="56"/>
      <c r="P59" s="60" t="e">
        <v>#REF!</v>
      </c>
      <c r="Q59" s="55"/>
      <c r="R59" s="55"/>
    </row>
    <row r="60" spans="1:18" x14ac:dyDescent="0.25">
      <c r="A60" s="55" t="s">
        <v>211</v>
      </c>
      <c r="B60" s="56" t="e">
        <v>#N/A</v>
      </c>
      <c r="C60" s="56" t="e">
        <f t="shared" si="0"/>
        <v>#N/A</v>
      </c>
      <c r="D60" s="56" t="e">
        <v>#N/A</v>
      </c>
      <c r="E60" s="56" t="e">
        <v>#N/A</v>
      </c>
      <c r="F60" s="56" t="e">
        <v>#N/A</v>
      </c>
      <c r="G60" s="56" t="e">
        <v>#N/A</v>
      </c>
      <c r="H60" s="63" t="s">
        <v>212</v>
      </c>
      <c r="I60" s="56" t="s">
        <v>189</v>
      </c>
      <c r="J60" s="56" t="s">
        <v>212</v>
      </c>
      <c r="K60" s="62">
        <v>54344</v>
      </c>
      <c r="L60" s="62">
        <v>4522</v>
      </c>
      <c r="N60" s="65">
        <v>1</v>
      </c>
      <c r="O60" s="56"/>
      <c r="P60" s="60" t="e">
        <v>#REF!</v>
      </c>
      <c r="Q60" s="55"/>
      <c r="R60" s="55"/>
    </row>
    <row r="61" spans="1:18" x14ac:dyDescent="0.25">
      <c r="A61" s="55" t="s">
        <v>213</v>
      </c>
      <c r="B61" s="56" t="e">
        <v>#N/A</v>
      </c>
      <c r="C61" s="56" t="e">
        <f t="shared" si="0"/>
        <v>#N/A</v>
      </c>
      <c r="D61" s="56" t="e">
        <v>#N/A</v>
      </c>
      <c r="E61" s="56">
        <v>2</v>
      </c>
      <c r="F61" s="56">
        <v>4</v>
      </c>
      <c r="G61" s="56" t="e">
        <v>#N/A</v>
      </c>
      <c r="H61" s="67" t="s">
        <v>214</v>
      </c>
      <c r="I61" s="56" t="s">
        <v>189</v>
      </c>
      <c r="J61" s="56" t="s">
        <v>214</v>
      </c>
      <c r="K61" s="62">
        <v>15058</v>
      </c>
      <c r="L61" s="62">
        <v>481</v>
      </c>
      <c r="N61" s="55"/>
      <c r="O61" s="56"/>
      <c r="P61" s="60" t="e">
        <v>#REF!</v>
      </c>
      <c r="Q61" s="55"/>
      <c r="R61" s="55"/>
    </row>
    <row r="62" spans="1:18" x14ac:dyDescent="0.25">
      <c r="A62" s="55" t="s">
        <v>215</v>
      </c>
      <c r="B62" s="56" t="e">
        <v>#N/A</v>
      </c>
      <c r="C62" s="56" t="e">
        <f t="shared" si="0"/>
        <v>#N/A</v>
      </c>
      <c r="D62" s="56" t="e">
        <v>#N/A</v>
      </c>
      <c r="E62" s="56" t="e">
        <v>#N/A</v>
      </c>
      <c r="F62" s="56" t="e">
        <v>#N/A</v>
      </c>
      <c r="G62" s="56" t="e">
        <v>#N/A</v>
      </c>
      <c r="H62" s="67" t="s">
        <v>216</v>
      </c>
      <c r="I62" s="56" t="s">
        <v>189</v>
      </c>
      <c r="J62" s="56" t="s">
        <v>216</v>
      </c>
      <c r="K62" s="56" t="e">
        <v>#N/A</v>
      </c>
      <c r="L62" s="56" t="e">
        <v>#N/A</v>
      </c>
      <c r="N62" s="55"/>
      <c r="O62" s="56"/>
      <c r="P62" s="60" t="e">
        <v>#REF!</v>
      </c>
      <c r="Q62" s="55"/>
      <c r="R62" s="55"/>
    </row>
    <row r="63" spans="1:18" x14ac:dyDescent="0.25">
      <c r="A63" s="55" t="s">
        <v>217</v>
      </c>
      <c r="B63" s="56" t="e">
        <v>#N/A</v>
      </c>
      <c r="C63" s="56" t="e">
        <f t="shared" si="0"/>
        <v>#N/A</v>
      </c>
      <c r="D63" s="56" t="e">
        <v>#N/A</v>
      </c>
      <c r="E63" s="56" t="e">
        <v>#N/A</v>
      </c>
      <c r="F63" s="56" t="e">
        <v>#N/A</v>
      </c>
      <c r="G63" s="56" t="e">
        <v>#N/A</v>
      </c>
      <c r="H63" s="67" t="s">
        <v>218</v>
      </c>
      <c r="I63" s="56" t="s">
        <v>189</v>
      </c>
      <c r="J63" s="56" t="s">
        <v>218</v>
      </c>
      <c r="K63" s="56" t="e">
        <v>#N/A</v>
      </c>
      <c r="L63" s="56" t="e">
        <v>#N/A</v>
      </c>
      <c r="N63" s="65"/>
      <c r="O63" s="56"/>
      <c r="P63" s="60" t="e">
        <v>#REF!</v>
      </c>
      <c r="Q63" s="55"/>
      <c r="R63" s="55"/>
    </row>
    <row r="64" spans="1:18" x14ac:dyDescent="0.25">
      <c r="A64" s="55" t="s">
        <v>219</v>
      </c>
      <c r="B64" s="56">
        <v>5</v>
      </c>
      <c r="C64" s="56">
        <f t="shared" si="0"/>
        <v>10</v>
      </c>
      <c r="D64" s="56">
        <v>15</v>
      </c>
      <c r="E64" s="56">
        <v>1</v>
      </c>
      <c r="F64" s="56">
        <v>2</v>
      </c>
      <c r="G64" s="56" t="e">
        <v>#N/A</v>
      </c>
      <c r="H64" s="63" t="s">
        <v>220</v>
      </c>
      <c r="I64" s="56" t="s">
        <v>189</v>
      </c>
      <c r="J64" s="56" t="s">
        <v>220</v>
      </c>
      <c r="K64" s="62">
        <v>272</v>
      </c>
      <c r="L64" s="62">
        <v>11</v>
      </c>
      <c r="N64" s="65">
        <v>1</v>
      </c>
      <c r="O64" s="56"/>
      <c r="P64" s="60" t="e">
        <v>#REF!</v>
      </c>
      <c r="Q64" s="55"/>
      <c r="R64" s="55"/>
    </row>
    <row r="65" spans="1:18" x14ac:dyDescent="0.25">
      <c r="A65" s="55" t="s">
        <v>221</v>
      </c>
      <c r="B65" s="56">
        <v>10</v>
      </c>
      <c r="C65" s="56">
        <f t="shared" si="0"/>
        <v>12.5</v>
      </c>
      <c r="D65" s="56">
        <v>15</v>
      </c>
      <c r="E65" s="56">
        <v>1</v>
      </c>
      <c r="F65" s="56">
        <v>2</v>
      </c>
      <c r="G65" s="56" t="s">
        <v>142</v>
      </c>
      <c r="H65" s="63" t="s">
        <v>222</v>
      </c>
      <c r="I65" s="56" t="s">
        <v>189</v>
      </c>
      <c r="J65" s="56" t="s">
        <v>222</v>
      </c>
      <c r="K65" s="62">
        <v>23623</v>
      </c>
      <c r="L65" s="62">
        <v>914</v>
      </c>
      <c r="N65" s="65" t="s">
        <v>204</v>
      </c>
      <c r="O65" s="56"/>
      <c r="P65" s="60" t="e">
        <v>#REF!</v>
      </c>
      <c r="Q65" s="55"/>
      <c r="R65" s="55"/>
    </row>
    <row r="66" spans="1:18" x14ac:dyDescent="0.25">
      <c r="A66" s="61" t="s">
        <v>223</v>
      </c>
      <c r="B66" s="56" t="e">
        <v>#N/A</v>
      </c>
      <c r="C66" s="56" t="e">
        <f t="shared" si="0"/>
        <v>#N/A</v>
      </c>
      <c r="D66" s="56" t="e">
        <v>#N/A</v>
      </c>
      <c r="E66" s="56" t="e">
        <v>#N/A</v>
      </c>
      <c r="F66" s="56" t="e">
        <v>#N/A</v>
      </c>
      <c r="G66" s="56" t="e">
        <v>#N/A</v>
      </c>
      <c r="H66" s="57" t="s">
        <v>224</v>
      </c>
      <c r="I66" s="56" t="s">
        <v>189</v>
      </c>
      <c r="J66" s="58" t="s">
        <v>224</v>
      </c>
      <c r="K66" s="56" t="e">
        <v>#N/A</v>
      </c>
      <c r="L66" s="56" t="e">
        <v>#N/A</v>
      </c>
      <c r="N66" s="65" t="s">
        <v>204</v>
      </c>
      <c r="O66" s="56"/>
      <c r="P66" s="60" t="e">
        <v>#REF!</v>
      </c>
      <c r="Q66" s="55"/>
      <c r="R66" s="55"/>
    </row>
    <row r="67" spans="1:18" x14ac:dyDescent="0.25">
      <c r="A67" s="61" t="s">
        <v>225</v>
      </c>
      <c r="B67" s="56" t="e">
        <v>#N/A</v>
      </c>
      <c r="C67" s="56" t="e">
        <f t="shared" ref="C67" si="1">(D67+B67)/2</f>
        <v>#N/A</v>
      </c>
      <c r="D67" s="56" t="e">
        <v>#N/A</v>
      </c>
      <c r="E67" s="56" t="e">
        <v>#N/A</v>
      </c>
      <c r="F67" s="56" t="e">
        <v>#N/A</v>
      </c>
      <c r="G67" s="56" t="e">
        <v>#N/A</v>
      </c>
      <c r="H67" s="57" t="s">
        <v>226</v>
      </c>
      <c r="I67" s="56" t="s">
        <v>189</v>
      </c>
      <c r="J67" s="58" t="s">
        <v>227</v>
      </c>
      <c r="K67" s="56" t="e">
        <v>#N/A</v>
      </c>
      <c r="L67" s="56" t="e">
        <v>#N/A</v>
      </c>
      <c r="N67" s="65" t="s">
        <v>204</v>
      </c>
      <c r="O67" s="56"/>
      <c r="P67" s="60" t="e">
        <v>#REF!</v>
      </c>
      <c r="Q67" s="55"/>
      <c r="R67" s="55"/>
    </row>
    <row r="70" spans="1:18" hidden="1" x14ac:dyDescent="0.25">
      <c r="A70" s="68">
        <v>1</v>
      </c>
      <c r="B70" s="68">
        <v>2</v>
      </c>
      <c r="C70" s="68">
        <v>3</v>
      </c>
      <c r="D70" s="68">
        <v>4</v>
      </c>
      <c r="E70" s="68">
        <v>5</v>
      </c>
      <c r="F70" s="68">
        <v>6</v>
      </c>
      <c r="G70" s="68">
        <v>7</v>
      </c>
      <c r="H70" s="68">
        <v>8</v>
      </c>
      <c r="I70" s="68">
        <v>9</v>
      </c>
      <c r="J70" s="68">
        <v>10</v>
      </c>
      <c r="K70" s="68">
        <v>11</v>
      </c>
      <c r="L70" s="68">
        <v>12</v>
      </c>
      <c r="M70" s="68">
        <v>13</v>
      </c>
      <c r="N70" s="68">
        <v>14</v>
      </c>
    </row>
  </sheetData>
  <hyperlinks>
    <hyperlink ref="K1" location="'03_CL_Formular_Offenland'!A1" display="03_CL_Formular_Offenland"/>
    <hyperlink ref="L1" location="'04_CL_Formular_Wald'!A1" display="04_CL_Formular_Wald"/>
  </hyperlinks>
  <pageMargins left="0.7" right="0.7" top="0.78740157499999996" bottom="0.78740157499999996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B2:C6"/>
  <sheetViews>
    <sheetView workbookViewId="0"/>
  </sheetViews>
  <sheetFormatPr baseColWidth="10" defaultRowHeight="15" x14ac:dyDescent="0.25"/>
  <cols>
    <col min="1" max="1" width="4.5703125" customWidth="1"/>
    <col min="2" max="2" width="16.7109375" bestFit="1" customWidth="1"/>
    <col min="3" max="3" width="48" customWidth="1"/>
  </cols>
  <sheetData>
    <row r="2" spans="2:3" x14ac:dyDescent="0.25">
      <c r="B2" s="74" t="s">
        <v>237</v>
      </c>
      <c r="C2" s="74" t="s">
        <v>236</v>
      </c>
    </row>
    <row r="3" spans="2:3" ht="18" x14ac:dyDescent="0.35">
      <c r="B3" s="52" t="s">
        <v>142</v>
      </c>
      <c r="C3" t="s">
        <v>239</v>
      </c>
    </row>
    <row r="4" spans="2:3" ht="18" x14ac:dyDescent="0.35">
      <c r="B4" s="52" t="s">
        <v>108</v>
      </c>
      <c r="C4" t="s">
        <v>240</v>
      </c>
    </row>
    <row r="5" spans="2:3" ht="18" x14ac:dyDescent="0.35">
      <c r="B5" s="52" t="s">
        <v>128</v>
      </c>
      <c r="C5" t="s">
        <v>241</v>
      </c>
    </row>
    <row r="6" spans="2:3" ht="18" x14ac:dyDescent="0.35">
      <c r="B6" s="52" t="s">
        <v>238</v>
      </c>
      <c r="C6" t="s">
        <v>242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ktdokumente" ma:contentTypeID="0x010100D0A8CF5CBDDAB04F858B206C52E6B955008B8928A0705C8541B304B63F90EA8396" ma:contentTypeVersion="4" ma:contentTypeDescription="Inhaltstyp von Projektdokumenten innerhalb des Arbeitsraumes der jeweiligen Webseite." ma:contentTypeScope="" ma:versionID="b6dcf3f8b4c21e9d0aa6ef44676a12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01d44a20dbf023ccb53e80df31da5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CA7C65-AF3A-468E-AEA5-A4981E089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0DE48C-1E4C-4FFA-997F-6B82DB318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874AC4-1154-45B6-8657-7EC8AA840EB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Deckblatt</vt:lpstr>
      <vt:lpstr>Erläuterung</vt:lpstr>
      <vt:lpstr>LRT_6510</vt:lpstr>
      <vt:lpstr>LRT_6510_barrierefrei</vt:lpstr>
      <vt:lpstr>LRT_6510!Print_Area</vt:lpstr>
      <vt:lpstr>LRT_6510_barrierefrei!Print_Area</vt:lpstr>
      <vt:lpstr>LRT_6510!Print_Area2</vt:lpstr>
      <vt:lpstr>LRT_6510_barrierefrei!Print_Area2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Dieter Horlacher</dc:creator>
  <cp:lastModifiedBy>Prüeß, Andreas Dr. (LUBW)</cp:lastModifiedBy>
  <cp:lastPrinted>2024-10-24T07:34:56Z</cp:lastPrinted>
  <dcterms:created xsi:type="dcterms:W3CDTF">2022-01-21T13:17:27Z</dcterms:created>
  <dcterms:modified xsi:type="dcterms:W3CDTF">2024-10-24T07:55:33Z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0x010100D0A8CF5CBDDAB04F858B206C52E6B955008B8928A0705C8541B304B63F90EA8396</vt:lpwstr>
  </property>
</Properties>
</file>